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7NxcC2u43EZfdCZmABi+iHd+FgLhltCEnNy0WvUsRmWXq7OtrW1I+p9BiRi6cZ29atwDvLa7p4TBp5RRn2bzng==" workbookSaltValue="fqFYupYz2BmWMgexwIEn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<sst xmlns="http://schemas.openxmlformats.org/spreadsheetml/2006/main" count="2527" uniqueCount="1026">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</sst>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6PMfsrkzZMCGqaWO4sOaUozltnowlKiq3oEVwHNY3V+Xhf8xxceHzBrisYypwZCzby0CSbtKUCpa2YaBMyRpng==" saltValue="d2ljyLsZKb4oG36ykT+Dj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101</v>
      </c>
      <c r="D10" s="224">
        <f>IF(ISNUMBER(Datos!I10),Datos!I10," - ")</f>
        <v>101</v>
      </c>
      <c r="E10" s="225">
        <f>IF(ISNUMBER(Datos!J10),Datos!J10," - ")</f>
        <v>48</v>
      </c>
      <c r="F10" s="225">
        <f>IF(ISNUMBER(Datos!K10),Datos!K10," - ")</f>
        <v>44</v>
      </c>
      <c r="G10" s="1029" t="str">
        <f>IF(Datos!E10&lt;&gt;"",Datos!E10,Datos!D10)</f>
        <v>37</v>
      </c>
      <c r="H10" s="226">
        <f>IF(ISNUMBER(Datos!L10),Datos!L10," - ")</f>
        <v>105</v>
      </c>
      <c r="I10" s="1039" t="str">
        <f>IF(ISNUMBER(Datos!AS10/Datos!BM10),Datos!AS10/Datos!BM10," - ")</f>
        <v xml:space="preserve"> - </v>
      </c>
      <c r="J10" s="1040">
        <f>IF(ISNUMBER(Datos!BY10/Datos!CN10),Datos!BY10/Datos!CN10," - ")</f>
        <v>0</v>
      </c>
      <c r="K10" s="229">
        <f t="shared" ref="K10:K12" si="1">IF(ISNUMBER((E10-F10)/C10),(E10-F10)/C10," - ")</f>
        <v>3.9603960396039604E-2</v>
      </c>
      <c r="L10" s="1020">
        <f>IF(ISNUMBER(NºAsuntos!I10/NºAsuntos!G10),(NºAsuntos!I10/NºAsuntos!G10)*11," - ")</f>
        <v>26.25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68.799420289855078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101</v>
      </c>
      <c r="D13" s="1044">
        <f>SUBTOTAL(9,D9:D12)</f>
        <v>101</v>
      </c>
      <c r="E13" s="1045">
        <f>SUBTOTAL(9,E9:E12)</f>
        <v>48</v>
      </c>
      <c r="F13" s="1046">
        <f>SUBTOTAL(9,F9:F12)</f>
        <v>44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3891</v>
      </c>
      <c r="D17" s="224">
        <f>IF(ISNUMBER(IF(D_I="SI",Datos!I17,Datos!I17+Datos!AC17)),IF(D_I="SI",Datos!I17,Datos!I17+Datos!AC17)," - ")</f>
        <v>3879</v>
      </c>
      <c r="E17" s="225">
        <f>IF(ISNUMBER(IF(D_I="SI",Datos!J17,Datos!J17+Datos!AD17)),IF(D_I="SI",Datos!J17,Datos!J17+Datos!AD17)," - ")</f>
        <v>1764</v>
      </c>
      <c r="F17" s="225">
        <f>IF(ISNUMBER(IF(D_I="SI",Datos!K17,Datos!K17+Datos!AE17)),IF(D_I="SI",Datos!K17,Datos!K17+Datos!AE17)," - ")</f>
        <v>1625</v>
      </c>
      <c r="G17" s="1029" t="str">
        <f>IF(Datos!E17&lt;&gt;"",Datos!E17,Datos!D17)</f>
        <v>04</v>
      </c>
      <c r="H17" s="226">
        <f>IF(ISNUMBER(IF(D_I="SI",Datos!L17,Datos!L17+Datos!AF17)),IF(D_I="SI",Datos!L17,Datos!L17+Datos!AF17)," - ")</f>
        <v>4030</v>
      </c>
      <c r="I17" s="1039" t="str">
        <f>IF(ISNUMBER(Datos!AS17/Datos!BM17),Datos!AS17/Datos!BM17," - ")</f>
        <v xml:space="preserve"> - </v>
      </c>
      <c r="J17" s="1040">
        <f>IF(ISNUMBER(Datos!BY17/Datos!CN17),Datos!BY17/Datos!CN17," - ")</f>
        <v>0</v>
      </c>
      <c r="K17" s="229">
        <f t="shared" si="3"/>
        <v>3.5723464405037264E-2</v>
      </c>
      <c r="L17" s="1020">
        <f>IF(ISNUMBER(NºAsuntos!I17/NºAsuntos!G17),(NºAsuntos!I17/NºAsuntos!G17)*11," - ")</f>
        <v>27.28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204</v>
      </c>
      <c r="D18" s="224">
        <f>IF(ISNUMBER(IF(D_I="SI",Datos!I18,Datos!I18+Datos!AC18)),IF(D_I="SI",Datos!I18,Datos!I18+Datos!AC18)," - ")</f>
        <v>202</v>
      </c>
      <c r="E18" s="225">
        <f>IF(ISNUMBER(IF(D_I="SI",Datos!J18,Datos!J18+Datos!AD18)),IF(D_I="SI",Datos!J18,Datos!J18+Datos!AD18)," - ")</f>
        <v>156</v>
      </c>
      <c r="F18" s="225">
        <f>IF(ISNUMBER(IF(D_I="SI",Datos!K18,Datos!K18+Datos!AE18)),IF(D_I="SI",Datos!K18,Datos!K18+Datos!AE18)," - ")</f>
        <v>107</v>
      </c>
      <c r="G18" s="1029" t="str">
        <f>IF(Datos!E18&lt;&gt;"",Datos!E18,Datos!D18)</f>
        <v>37</v>
      </c>
      <c r="H18" s="226">
        <f>IF(ISNUMBER(IF(D_I="SI",Datos!L18,Datos!L18+Datos!AF18)),IF(D_I="SI",Datos!L18,Datos!L18+Datos!AF18)," - ")</f>
        <v>253</v>
      </c>
      <c r="I18" s="1039" t="str">
        <f>IF(ISNUMBER(Datos!AS18/Datos!BM18),Datos!AS18/Datos!BM18," - ")</f>
        <v xml:space="preserve"> - </v>
      </c>
      <c r="J18" s="1040" t="str">
        <f>IF(ISNUMBER((Datos!BY18+Datos!BZ18)/Datos!CN18),(Datos!BY18+Datos!BZ18)/Datos!CN18," - ")</f>
        <v xml:space="preserve"> - </v>
      </c>
      <c r="K18" s="229">
        <f t="shared" si="3"/>
        <v>0.24019607843137256</v>
      </c>
      <c r="L18" s="1020">
        <f>IF(ISNUMBER(NºAsuntos!I18/NºAsuntos!G18),(NºAsuntos!I18/NºAsuntos!G18)*11," - ")</f>
        <v>26.009345794392523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4095</v>
      </c>
      <c r="D19" s="1044">
        <f>SUBTOTAL(9,D15:D18)</f>
        <v>4081</v>
      </c>
      <c r="E19" s="1045">
        <f>SUBTOTAL(9,E15:E18)</f>
        <v>1920</v>
      </c>
      <c r="F19" s="1045">
        <f>SUBTOTAL(9,F15:F18)</f>
        <v>1732</v>
      </c>
      <c r="G19" s="1047" t="str">
        <f ca="1">INDIRECT(CONCATENATE("G",ROW()-1))</f>
        <v>37</v>
      </c>
      <c r="H19" s="1048">
        <f ca="1">SUMIF(G$14:G18,G19,H$14:H18)</f>
        <v>253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4196</v>
      </c>
      <c r="D20" s="1066">
        <f>SUBTOTAL(9,D9:D19)</f>
        <v>4182</v>
      </c>
      <c r="E20" s="1067">
        <f>SUBTOTAL(9,E9:E19)</f>
        <v>1968</v>
      </c>
      <c r="F20" s="1067">
        <f>SUBTOTAL(9,F9:F19)</f>
        <v>1776</v>
      </c>
      <c r="G20" s="1068"/>
      <c r="H20" s="1069">
        <f ca="1">SUMIF(B9:B19,"TOTAL",H9:H19)</f>
        <v>253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sTb7NvwZPxHouIM0DRngm6GSdXGFewNgNZ3HvNw+MPBXQ1A9J0bOO4s8FqvG0YAbvRySY+/PmV7dnu6+oRfDw==" saltValue="gLr5NH0K45jQY/eqOloHY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xJcRtUgCTqiEvG8EAMlxdCG/bw5Ef24Fk+16/eSk8dAOEHSl+NSn+ygI4ymNNHbSbOLL7EqsYVg+XRjIA4FhQ==" saltValue="Kn+4NUxISLMT/ZuhsYAc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101</v>
      </c>
      <c r="J10" s="180">
        <v>48</v>
      </c>
      <c r="K10" s="180">
        <v>44</v>
      </c>
      <c r="L10" s="180">
        <v>105</v>
      </c>
      <c r="M10" s="180">
        <v>4</v>
      </c>
      <c r="N10" s="180">
        <v>23</v>
      </c>
      <c r="O10" s="180">
        <v>13</v>
      </c>
      <c r="P10" s="180">
        <v>13</v>
      </c>
      <c r="Q10" s="180">
        <v>7</v>
      </c>
      <c r="R10" s="180">
        <v>103</v>
      </c>
      <c r="S10" s="180">
        <v>77</v>
      </c>
      <c r="T10" s="180">
        <v>43</v>
      </c>
      <c r="U10" s="180">
        <v>38</v>
      </c>
      <c r="V10" s="180">
        <v>82</v>
      </c>
      <c r="W10" s="180">
        <v>16</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77</v>
      </c>
      <c r="AZ10" s="129">
        <f t="shared" si="0"/>
        <v>43</v>
      </c>
      <c r="BA10" s="129">
        <f t="shared" si="0"/>
        <v>38</v>
      </c>
      <c r="BB10" s="129">
        <f t="shared" si="0"/>
        <v>82</v>
      </c>
      <c r="BC10" s="125">
        <f t="shared" si="0"/>
        <v>16</v>
      </c>
      <c r="BD10" s="126">
        <f>IF(ISNUMBER(BA10/AZ10),BA10/AZ10," - ")</f>
        <v>0.88372093023255816</v>
      </c>
      <c r="BE10" s="127">
        <f>IF(ISNUMBER(BB10/BA10),BB10/BA10, " - ")</f>
        <v>2.1578947368421053</v>
      </c>
      <c r="BF10" s="127">
        <f>IF(ISNUMBER(BC10/BA10),BC10/BA10, " - ")</f>
        <v>0.42105263157894735</v>
      </c>
      <c r="BG10" s="195">
        <f>IF(ISNUMBER((AY10+AZ10)/BA10),(AY10+AZ10)/BA10," - ")</f>
        <v>3.1578947368421053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10108</v>
      </c>
      <c r="J12" s="182">
        <v>1991</v>
      </c>
      <c r="K12" s="182">
        <v>1636</v>
      </c>
      <c r="L12" s="182">
        <v>10449</v>
      </c>
      <c r="M12" s="182">
        <v>402</v>
      </c>
      <c r="N12" s="182">
        <v>828</v>
      </c>
      <c r="O12" s="180">
        <v>714</v>
      </c>
      <c r="P12" s="182">
        <v>667</v>
      </c>
      <c r="Q12" s="182">
        <v>321</v>
      </c>
      <c r="R12" s="182">
        <v>7513</v>
      </c>
      <c r="S12" s="182">
        <v>9076</v>
      </c>
      <c r="T12" s="182">
        <v>3113</v>
      </c>
      <c r="U12" s="182">
        <v>1798</v>
      </c>
      <c r="V12" s="182">
        <v>10406</v>
      </c>
      <c r="W12" s="182">
        <v>461</v>
      </c>
      <c r="X12" s="188">
        <v>874</v>
      </c>
      <c r="Y12" s="190">
        <v>342</v>
      </c>
      <c r="Z12" s="180">
        <v>87</v>
      </c>
      <c r="AA12" s="180">
        <v>89</v>
      </c>
      <c r="AB12" s="180">
        <v>340</v>
      </c>
      <c r="AC12" s="182">
        <v>0</v>
      </c>
      <c r="AD12" s="182">
        <v>0</v>
      </c>
      <c r="AE12" s="182">
        <v>0</v>
      </c>
      <c r="AF12" s="188">
        <v>0</v>
      </c>
      <c r="AG12" s="201">
        <v>197</v>
      </c>
      <c r="AH12" s="182">
        <v>83</v>
      </c>
      <c r="AI12" s="182">
        <v>88</v>
      </c>
      <c r="AJ12" s="202">
        <v>192</v>
      </c>
      <c r="AK12" s="181">
        <v>0</v>
      </c>
      <c r="AL12" s="182">
        <v>0</v>
      </c>
      <c r="AM12" s="182">
        <v>0</v>
      </c>
      <c r="AN12" s="188">
        <v>0</v>
      </c>
      <c r="AO12" s="258">
        <v>7</v>
      </c>
      <c r="AP12" s="154">
        <v>7</v>
      </c>
      <c r="AQ12" s="154">
        <v>7</v>
      </c>
      <c r="AR12" s="153">
        <v>7</v>
      </c>
      <c r="AS12" s="339" t="s">
        <v>766</v>
      </c>
      <c r="AT12" s="202"/>
      <c r="AU12" s="201"/>
      <c r="AV12" s="202"/>
      <c r="AW12" s="201"/>
      <c r="AX12" s="202"/>
      <c r="AY12" s="126">
        <f t="shared" si="1"/>
        <v>9273</v>
      </c>
      <c r="AZ12" s="127">
        <f t="shared" si="1"/>
        <v>3196</v>
      </c>
      <c r="BA12" s="127">
        <f t="shared" si="1"/>
        <v>1886</v>
      </c>
      <c r="BB12" s="127">
        <f t="shared" si="1"/>
        <v>10598</v>
      </c>
      <c r="BC12" s="125">
        <f>IF(ISNUMBER(X12),X12," - ")</f>
        <v>874</v>
      </c>
      <c r="BD12" s="126">
        <f t="shared" si="2"/>
        <v>0.59011264080100123</v>
      </c>
      <c r="BE12" s="127">
        <f t="shared" si="3"/>
        <v>5.6193001060445384</v>
      </c>
      <c r="BF12" s="127">
        <f t="shared" si="4"/>
        <v>0.46341463414634149</v>
      </c>
      <c r="BG12" s="195">
        <f t="shared" si="5"/>
        <v>6.6113467656415699</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10209</v>
      </c>
      <c r="J13" s="183">
        <f t="shared" si="6"/>
        <v>2039</v>
      </c>
      <c r="K13" s="183">
        <f t="shared" si="6"/>
        <v>1680</v>
      </c>
      <c r="L13" s="183">
        <f t="shared" si="6"/>
        <v>10554</v>
      </c>
      <c r="M13" s="183">
        <f t="shared" si="6"/>
        <v>406</v>
      </c>
      <c r="N13" s="183">
        <f t="shared" si="6"/>
        <v>851</v>
      </c>
      <c r="O13" s="183">
        <f t="shared" si="6"/>
        <v>727</v>
      </c>
      <c r="P13" s="183">
        <f t="shared" si="6"/>
        <v>680</v>
      </c>
      <c r="Q13" s="183">
        <f t="shared" si="6"/>
        <v>328</v>
      </c>
      <c r="R13" s="183">
        <f t="shared" si="6"/>
        <v>7616</v>
      </c>
      <c r="S13" s="183">
        <f t="shared" si="6"/>
        <v>9153</v>
      </c>
      <c r="T13" s="183">
        <f t="shared" si="6"/>
        <v>3156</v>
      </c>
      <c r="U13" s="183">
        <f t="shared" si="6"/>
        <v>1836</v>
      </c>
      <c r="V13" s="183">
        <f t="shared" si="6"/>
        <v>10488</v>
      </c>
      <c r="W13" s="183">
        <f t="shared" si="6"/>
        <v>477</v>
      </c>
      <c r="X13" s="183">
        <f t="shared" si="6"/>
        <v>890</v>
      </c>
      <c r="Y13" s="183">
        <f t="shared" si="6"/>
        <v>342</v>
      </c>
      <c r="Z13" s="183">
        <f t="shared" si="6"/>
        <v>87</v>
      </c>
      <c r="AA13" s="183">
        <f t="shared" si="6"/>
        <v>89</v>
      </c>
      <c r="AB13" s="183">
        <f t="shared" si="6"/>
        <v>340</v>
      </c>
      <c r="AC13" s="183">
        <f t="shared" si="6"/>
        <v>0</v>
      </c>
      <c r="AD13" s="183">
        <f t="shared" si="6"/>
        <v>0</v>
      </c>
      <c r="AE13" s="183">
        <f t="shared" si="6"/>
        <v>0</v>
      </c>
      <c r="AF13" s="183">
        <f>SUBTOTAL(9,AF9:AF12)</f>
        <v>0</v>
      </c>
      <c r="AG13" s="183">
        <f t="shared" ref="AG13:AT13" si="7">SUBTOTAL(9,AG8:AG12)</f>
        <v>197</v>
      </c>
      <c r="AH13" s="183">
        <f t="shared" si="7"/>
        <v>83</v>
      </c>
      <c r="AI13" s="183">
        <f t="shared" si="7"/>
        <v>88</v>
      </c>
      <c r="AJ13" s="183">
        <f t="shared" si="7"/>
        <v>192</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9350</v>
      </c>
      <c r="AZ13" s="183">
        <f>SUBTOTAL(9,AZ8:AZ12)</f>
        <v>3239</v>
      </c>
      <c r="BA13" s="183">
        <f>SUBTOTAL(9,BA8:BA12)</f>
        <v>1924</v>
      </c>
      <c r="BB13" s="183">
        <f>SUBTOTAL(9,BB8:BB12)</f>
        <v>10680</v>
      </c>
      <c r="BC13" s="183">
        <f>SUBTOTAL(9,BC8:BC12)</f>
        <v>890</v>
      </c>
      <c r="BD13" s="204">
        <f>IF(ISNUMBER(BA13/AZ13),BA13/AZ13," - ")</f>
        <v>0.59401049706699594</v>
      </c>
      <c r="BE13" s="205">
        <f>IF(ISNUMBER(BB13/BA13),BB13/BA13, " - ")</f>
        <v>5.5509355509355514</v>
      </c>
      <c r="BF13" s="205">
        <f>IF(ISNUMBER(BC13/BA13),BC13/BA13, " - ")</f>
        <v>0.46257796257796258</v>
      </c>
      <c r="BG13" s="206">
        <f>IF(ISNUMBER((AY13+AZ13)/BA13),(AY13+AZ13)/BA13," - ")</f>
        <v>6.5431392931392933</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3879</v>
      </c>
      <c r="J17" s="182">
        <v>1764</v>
      </c>
      <c r="K17" s="182">
        <v>1625</v>
      </c>
      <c r="L17" s="182">
        <v>4030</v>
      </c>
      <c r="M17" s="182">
        <v>160</v>
      </c>
      <c r="N17" s="182">
        <v>1226</v>
      </c>
      <c r="O17" s="180">
        <v>2</v>
      </c>
      <c r="P17" s="182">
        <v>9</v>
      </c>
      <c r="Q17" s="182">
        <v>12</v>
      </c>
      <c r="R17" s="182">
        <v>160</v>
      </c>
      <c r="S17" s="182">
        <v>3310</v>
      </c>
      <c r="T17" s="182">
        <v>2102</v>
      </c>
      <c r="U17" s="182">
        <v>2084</v>
      </c>
      <c r="V17" s="182">
        <v>3351</v>
      </c>
      <c r="W17" s="182">
        <v>232</v>
      </c>
      <c r="X17" s="188">
        <v>1427</v>
      </c>
      <c r="Y17" s="201">
        <v>0</v>
      </c>
      <c r="Z17" s="182">
        <v>0</v>
      </c>
      <c r="AA17" s="182">
        <v>0</v>
      </c>
      <c r="AB17" s="182">
        <v>0</v>
      </c>
      <c r="AC17" s="182">
        <v>41</v>
      </c>
      <c r="AD17" s="182">
        <v>75</v>
      </c>
      <c r="AE17" s="182">
        <v>80</v>
      </c>
      <c r="AF17" s="188">
        <v>36</v>
      </c>
      <c r="AG17" s="201">
        <v>0</v>
      </c>
      <c r="AH17" s="182">
        <v>0</v>
      </c>
      <c r="AI17" s="182">
        <v>0</v>
      </c>
      <c r="AJ17" s="202">
        <v>0</v>
      </c>
      <c r="AK17" s="181">
        <v>8</v>
      </c>
      <c r="AL17" s="182">
        <v>53</v>
      </c>
      <c r="AM17" s="182">
        <v>46</v>
      </c>
      <c r="AN17" s="188">
        <v>15</v>
      </c>
      <c r="AO17" s="258">
        <v>7</v>
      </c>
      <c r="AP17" s="154">
        <v>7</v>
      </c>
      <c r="AQ17" s="154">
        <v>7</v>
      </c>
      <c r="AR17" s="154">
        <v>7</v>
      </c>
      <c r="AS17" s="339" t="s">
        <v>486</v>
      </c>
      <c r="AT17" s="202"/>
      <c r="AU17" s="201"/>
      <c r="AV17" s="202"/>
      <c r="AW17" s="201"/>
      <c r="AX17" s="202"/>
      <c r="AY17" s="126">
        <f t="shared" si="9"/>
        <v>3310</v>
      </c>
      <c r="AZ17" s="127">
        <f t="shared" si="9"/>
        <v>2102</v>
      </c>
      <c r="BA17" s="127">
        <f t="shared" si="9"/>
        <v>2084</v>
      </c>
      <c r="BB17" s="127">
        <f t="shared" si="9"/>
        <v>3351</v>
      </c>
      <c r="BC17" s="125">
        <f>IF(ISNUMBER(W17),W17," - ")</f>
        <v>232</v>
      </c>
      <c r="BD17" s="126">
        <f t="shared" ref="BD17" si="16">IF(ISNUMBER(BA17/AZ17),BA17/AZ17," - ")</f>
        <v>0.99143672692673646</v>
      </c>
      <c r="BE17" s="127">
        <f t="shared" ref="BE17" si="17">IF(ISNUMBER(BB17/BA17),BB17/BA17, " - ")</f>
        <v>1.6079654510556622</v>
      </c>
      <c r="BF17" s="127">
        <f t="shared" ref="BF17" si="18">IF(ISNUMBER(BC17/BA17),BC17/BA17, " - ")</f>
        <v>0.11132437619961612</v>
      </c>
      <c r="BG17" s="195">
        <f t="shared" si="10"/>
        <v>2.5969289827255277</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202</v>
      </c>
      <c r="J18" s="182">
        <v>156</v>
      </c>
      <c r="K18" s="182">
        <v>107</v>
      </c>
      <c r="L18" s="182">
        <v>253</v>
      </c>
      <c r="M18" s="182">
        <v>20</v>
      </c>
      <c r="N18" s="182">
        <v>56</v>
      </c>
      <c r="O18" s="182">
        <v>0</v>
      </c>
      <c r="P18" s="182">
        <v>0</v>
      </c>
      <c r="Q18" s="182">
        <v>0</v>
      </c>
      <c r="R18" s="182">
        <v>15</v>
      </c>
      <c r="S18" s="182">
        <v>215</v>
      </c>
      <c r="T18" s="182">
        <v>138</v>
      </c>
      <c r="U18" s="182">
        <v>163</v>
      </c>
      <c r="V18" s="182">
        <v>179</v>
      </c>
      <c r="W18" s="182">
        <v>15</v>
      </c>
      <c r="X18" s="188">
        <v>80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215</v>
      </c>
      <c r="AZ18" s="129">
        <f t="shared" si="19"/>
        <v>138</v>
      </c>
      <c r="BA18" s="129">
        <f t="shared" si="19"/>
        <v>163</v>
      </c>
      <c r="BB18" s="129">
        <f t="shared" si="19"/>
        <v>179</v>
      </c>
      <c r="BC18" s="125">
        <f>IF(ISNUMBER(W18),W18," - ")</f>
        <v>15</v>
      </c>
      <c r="BD18" s="126">
        <f>IF(ISNUMBER(BA18/AZ18),BA18/AZ18," - ")</f>
        <v>1.181159420289855</v>
      </c>
      <c r="BE18" s="127">
        <f>IF(ISNUMBER(BB18/BA18),BB18/BA18, " - ")</f>
        <v>1.0981595092024541</v>
      </c>
      <c r="BF18" s="127">
        <f>IF(ISNUMBER(BC18/BA18),BC18/BA18, " - ")</f>
        <v>9.202453987730061E-2</v>
      </c>
      <c r="BG18" s="195">
        <f>IF(ISNUMBER((AY18+AZ18)/BA18),(AY18+AZ18)/BA18," - ")</f>
        <v>2.165644171779141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4081</v>
      </c>
      <c r="J19" s="183">
        <f t="shared" si="20"/>
        <v>1920</v>
      </c>
      <c r="K19" s="183">
        <f t="shared" si="20"/>
        <v>1732</v>
      </c>
      <c r="L19" s="183">
        <f t="shared" si="20"/>
        <v>4283</v>
      </c>
      <c r="M19" s="183">
        <f t="shared" si="20"/>
        <v>180</v>
      </c>
      <c r="N19" s="183">
        <f t="shared" si="20"/>
        <v>1282</v>
      </c>
      <c r="O19" s="183">
        <f t="shared" si="20"/>
        <v>2</v>
      </c>
      <c r="P19" s="183">
        <f t="shared" si="20"/>
        <v>9</v>
      </c>
      <c r="Q19" s="183">
        <f t="shared" si="20"/>
        <v>12</v>
      </c>
      <c r="R19" s="183">
        <f t="shared" si="20"/>
        <v>175</v>
      </c>
      <c r="S19" s="183">
        <f t="shared" si="20"/>
        <v>3525</v>
      </c>
      <c r="T19" s="183">
        <f t="shared" si="20"/>
        <v>2240</v>
      </c>
      <c r="U19" s="183">
        <f t="shared" si="20"/>
        <v>2247</v>
      </c>
      <c r="V19" s="183">
        <f t="shared" si="20"/>
        <v>3530</v>
      </c>
      <c r="W19" s="183">
        <f t="shared" si="20"/>
        <v>247</v>
      </c>
      <c r="X19" s="183">
        <f t="shared" si="20"/>
        <v>1507</v>
      </c>
      <c r="Y19" s="183">
        <f t="shared" si="20"/>
        <v>0</v>
      </c>
      <c r="Z19" s="183">
        <f t="shared" si="20"/>
        <v>0</v>
      </c>
      <c r="AA19" s="183">
        <f t="shared" si="20"/>
        <v>0</v>
      </c>
      <c r="AB19" s="183">
        <f t="shared" si="20"/>
        <v>0</v>
      </c>
      <c r="AC19" s="183">
        <f t="shared" si="20"/>
        <v>41</v>
      </c>
      <c r="AD19" s="183">
        <f t="shared" si="20"/>
        <v>75</v>
      </c>
      <c r="AE19" s="183">
        <f t="shared" si="20"/>
        <v>80</v>
      </c>
      <c r="AF19" s="183">
        <f t="shared" si="20"/>
        <v>36</v>
      </c>
      <c r="AG19" s="183">
        <f t="shared" si="20"/>
        <v>0</v>
      </c>
      <c r="AH19" s="183">
        <f t="shared" si="20"/>
        <v>0</v>
      </c>
      <c r="AI19" s="183">
        <f t="shared" si="20"/>
        <v>0</v>
      </c>
      <c r="AJ19" s="183">
        <f t="shared" si="20"/>
        <v>0</v>
      </c>
      <c r="AK19" s="183">
        <f t="shared" si="20"/>
        <v>8</v>
      </c>
      <c r="AL19" s="183">
        <f t="shared" si="20"/>
        <v>53</v>
      </c>
      <c r="AM19" s="183">
        <f t="shared" si="20"/>
        <v>46</v>
      </c>
      <c r="AN19" s="183">
        <f t="shared" si="20"/>
        <v>15</v>
      </c>
      <c r="AO19" s="183">
        <f t="shared" si="20"/>
        <v>8</v>
      </c>
      <c r="AP19" s="183">
        <f t="shared" si="20"/>
        <v>8</v>
      </c>
      <c r="AQ19" s="183">
        <f t="shared" si="20"/>
        <v>8</v>
      </c>
      <c r="AR19" s="183">
        <f t="shared" si="20"/>
        <v>8</v>
      </c>
      <c r="AS19" s="183">
        <f t="shared" si="20"/>
        <v>0</v>
      </c>
      <c r="AT19" s="183">
        <f t="shared" si="20"/>
        <v>0</v>
      </c>
      <c r="AU19" s="203"/>
      <c r="AV19" s="132"/>
      <c r="AW19" s="203"/>
      <c r="AX19" s="132"/>
      <c r="AY19" s="183">
        <f>SUBTOTAL(9,AY14:AY18)</f>
        <v>3525</v>
      </c>
      <c r="AZ19" s="183">
        <f>SUBTOTAL(9,AZ14:AZ18)</f>
        <v>2240</v>
      </c>
      <c r="BA19" s="183">
        <f>SUBTOTAL(9,BA14:BA18)</f>
        <v>2247</v>
      </c>
      <c r="BB19" s="183">
        <f>SUBTOTAL(9,BB14:BB18)</f>
        <v>3530</v>
      </c>
      <c r="BC19" s="183">
        <f>SUBTOTAL(9,BC14:BC18)</f>
        <v>247</v>
      </c>
      <c r="BD19" s="204">
        <f>IF(ISNUMBER(BA19/AZ19),BA19/AZ19," - ")</f>
        <v>1.003125</v>
      </c>
      <c r="BE19" s="205">
        <f>IF(ISNUMBER(BB19/BA19),BB19/BA19, " - ")</f>
        <v>1.5709835336003561</v>
      </c>
      <c r="BF19" s="205">
        <f>IF(ISNUMBER(BC19/BA19),BC19/BA19, " - ")</f>
        <v>0.10992434356920339</v>
      </c>
      <c r="BG19" s="206">
        <f>IF(ISNUMBER((AY19+AZ19)/BA19),(AY19+AZ19)/BA19," - ")</f>
        <v>2.5656430796617711</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14290</v>
      </c>
      <c r="J20" s="134">
        <f t="shared" si="23"/>
        <v>3959</v>
      </c>
      <c r="K20" s="134">
        <f t="shared" si="23"/>
        <v>3412</v>
      </c>
      <c r="L20" s="134">
        <f t="shared" si="23"/>
        <v>14837</v>
      </c>
      <c r="M20" s="134">
        <f t="shared" si="23"/>
        <v>586</v>
      </c>
      <c r="N20" s="134">
        <f t="shared" si="23"/>
        <v>2133</v>
      </c>
      <c r="O20" s="134">
        <f t="shared" si="23"/>
        <v>729</v>
      </c>
      <c r="P20" s="134">
        <f t="shared" si="23"/>
        <v>689</v>
      </c>
      <c r="Q20" s="134">
        <f t="shared" si="23"/>
        <v>340</v>
      </c>
      <c r="R20" s="134">
        <f t="shared" si="23"/>
        <v>7791</v>
      </c>
      <c r="S20" s="134">
        <f t="shared" si="23"/>
        <v>12678</v>
      </c>
      <c r="T20" s="134">
        <f t="shared" si="23"/>
        <v>5396</v>
      </c>
      <c r="U20" s="134">
        <f t="shared" si="23"/>
        <v>4083</v>
      </c>
      <c r="V20" s="134">
        <f t="shared" si="23"/>
        <v>14018</v>
      </c>
      <c r="W20" s="134">
        <f t="shared" si="23"/>
        <v>724</v>
      </c>
      <c r="X20" s="134">
        <f t="shared" si="23"/>
        <v>2397</v>
      </c>
      <c r="Y20" s="134">
        <f t="shared" si="23"/>
        <v>342</v>
      </c>
      <c r="Z20" s="134">
        <f t="shared" si="23"/>
        <v>87</v>
      </c>
      <c r="AA20" s="134">
        <f t="shared" si="23"/>
        <v>89</v>
      </c>
      <c r="AB20" s="134">
        <f t="shared" si="23"/>
        <v>340</v>
      </c>
      <c r="AC20" s="134">
        <f t="shared" si="23"/>
        <v>41</v>
      </c>
      <c r="AD20" s="134">
        <f t="shared" si="23"/>
        <v>75</v>
      </c>
      <c r="AE20" s="134">
        <f t="shared" si="23"/>
        <v>80</v>
      </c>
      <c r="AF20" s="134">
        <f t="shared" si="23"/>
        <v>36</v>
      </c>
      <c r="AG20" s="134">
        <f t="shared" si="23"/>
        <v>197</v>
      </c>
      <c r="AH20" s="134">
        <f t="shared" si="23"/>
        <v>83</v>
      </c>
      <c r="AI20" s="134">
        <f t="shared" si="23"/>
        <v>88</v>
      </c>
      <c r="AJ20" s="134">
        <f t="shared" si="23"/>
        <v>192</v>
      </c>
      <c r="AK20" s="134">
        <f t="shared" si="23"/>
        <v>8</v>
      </c>
      <c r="AL20" s="134">
        <f t="shared" si="23"/>
        <v>53</v>
      </c>
      <c r="AM20" s="134">
        <f t="shared" si="23"/>
        <v>46</v>
      </c>
      <c r="AN20" s="209">
        <f t="shared" si="23"/>
        <v>15</v>
      </c>
      <c r="AO20" s="210">
        <v>8</v>
      </c>
      <c r="AP20" s="210">
        <v>8</v>
      </c>
      <c r="AQ20" s="210">
        <v>8</v>
      </c>
      <c r="AR20" s="210">
        <v>8</v>
      </c>
      <c r="AS20" s="152">
        <f t="shared" si="23"/>
        <v>0</v>
      </c>
      <c r="AT20" s="152">
        <f t="shared" si="23"/>
        <v>0</v>
      </c>
      <c r="AU20" s="210"/>
      <c r="AV20" s="211"/>
      <c r="AW20" s="210"/>
      <c r="AX20" s="211"/>
      <c r="AY20" s="133">
        <f>SUBTOTAL(9,AY9:AY19)</f>
        <v>12875</v>
      </c>
      <c r="AZ20" s="134">
        <f>SUBTOTAL(9,AZ9:AZ19)</f>
        <v>5479</v>
      </c>
      <c r="BA20" s="134">
        <f>SUBTOTAL(9,BA9:BA19)</f>
        <v>4171</v>
      </c>
      <c r="BB20" s="134">
        <f>SUBTOTAL(9,BB9:BB19)</f>
        <v>14210</v>
      </c>
      <c r="BC20" s="135">
        <f>SUBTOTAL(9,BC9:BC19)</f>
        <v>1137</v>
      </c>
      <c r="BD20" s="212">
        <f>IF(ISNUMBER(BA20/AZ20),BA20/AZ20," - ")</f>
        <v>0.76127030480014601</v>
      </c>
      <c r="BE20" s="209">
        <f>IF(ISNUMBER(BB20/BA20),BB20/BA20, " - ")</f>
        <v>3.4068568688563894</v>
      </c>
      <c r="BF20" s="209">
        <f>IF(ISNUMBER(BC20/BA20),BC20/BA20, " - ")</f>
        <v>0.27259649964037402</v>
      </c>
      <c r="BG20" s="135">
        <f>IF(ISNUMBER((AY20+AZ20)/BA20),(AY20+AZ20)/BA20," - ")</f>
        <v>4.4003836010549033</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F/Q56vVDJT4fJzuoy/Orz2jIqJDMmwgS8QigYJmn/YVB5MUkIrxQNQmcBDe54RWTkpyWM/gMuwGPCePOz9uLw==" saltValue="JxC11z03BhWKvfxBtIeKx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dqeUAgnezp+8LhgwBoS2Lec8zWaVwJtaaDlju2KSwMIGHxZylhCiGQUwNOau9jB8u5ORlaIiUE/qc7MICkrbw==" saltValue="nbyVf/BDEWpEz8062eJ7W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SANT FELIU DE LLOBREGAT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101</v>
      </c>
      <c r="G10" s="1246">
        <f>IF(ISNUMBER(Datos!I10),Datos!I10," - ")</f>
        <v>101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44</v>
      </c>
      <c r="AC10" s="1215">
        <f>IF(ISNUMBER(Datos!Q10),Datos!Q10," - ")</f>
        <v>7</v>
      </c>
      <c r="AD10" s="1247"/>
      <c r="AE10" s="1262"/>
      <c r="AF10" s="1245">
        <f>IF(ISNUMBER(Datos!L10),Datos!L10,"-")</f>
        <v>105</v>
      </c>
      <c r="AG10" s="1247"/>
      <c r="AH10" s="1247"/>
      <c r="AI10" s="1247"/>
      <c r="AJ10" s="1247"/>
      <c r="AK10" s="1247"/>
      <c r="AL10" s="1258"/>
      <c r="AM10" s="1248">
        <f>IF(ISNUMBER(Datos!R10),Datos!R10," - ")</f>
        <v>103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23</v>
      </c>
      <c r="BE10" s="1218" t="str">
        <f>IF(ISNUMBER(Datos!BW10),Datos!BW10," - ")</f>
        <v xml:space="preserve"> - </v>
      </c>
      <c r="BF10" s="1217" t="str">
        <f>IF(ISNUMBER(Datos!BX10),Datos!BX10," - ")</f>
        <v xml:space="preserve"> - </v>
      </c>
      <c r="BG10" s="1223">
        <f>IF(ISNUMBER(Datos!K10/Datos!J10),Datos!K10/Datos!J10," - ")</f>
        <v>0.91666666666666663</v>
      </c>
      <c r="BH10" s="1226">
        <f>IF(ISNUMBER(((Datos!L10/Datos!K10)*11)/factor_trimestre),((Datos!L10/Datos!K10)*11)/factor_trimestre," - ")</f>
        <v>7.1590909090909092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6.1855670103092786E-2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87</v>
      </c>
      <c r="O12" s="1247"/>
      <c r="P12" s="1247"/>
      <c r="Q12" s="1215">
        <f>IF(ISNUMBER(Datos!P12),Datos!P12,0)</f>
        <v>667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321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340</v>
      </c>
      <c r="AI12" s="1247" t="str">
        <f>IF(ISNUMBER(Datos!CD12),Datos!CD12,"-")</f>
        <v>-</v>
      </c>
      <c r="AJ12" s="1247" t="str">
        <f>IF(ISNUMBER(Datos!EN12),Datos!EN12," - ")</f>
        <v xml:space="preserve"> - </v>
      </c>
      <c r="AK12" s="1247"/>
      <c r="AL12" s="1258"/>
      <c r="AM12" s="1248">
        <f>IF(ISNUMBER(Datos!R12),Datos!R12," - ")</f>
        <v>7513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402</v>
      </c>
      <c r="BD12" s="1218">
        <f>IF(ISNUMBER(Datos!N12),Datos!N12," - ")</f>
        <v>828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0.83012512030798846</v>
      </c>
      <c r="BH12" s="1226">
        <f>IF(ISNUMBER(((IF(J_V="SI",Datos!L12/Datos!K12,(Datos!L12+Datos!AB12)/(Datos!K12+Datos!AA12)))*11)/factor_trimestre),((IF(J_V="SI",Datos!L12/Datos!K12,(Datos!L12+Datos!AB12)/(Datos!K12+Datos!AA12)))*11)/factor_trimestre," - ")</f>
        <v>18.763478260869569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4.8276824333751918E-2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101</v>
      </c>
      <c r="G13" s="1391">
        <f t="shared" si="0"/>
        <v>101</v>
      </c>
      <c r="H13" s="1392">
        <f t="shared" si="0"/>
        <v>0</v>
      </c>
      <c r="I13" s="1391">
        <f t="shared" si="0"/>
        <v>0</v>
      </c>
      <c r="J13" s="1383">
        <f t="shared" si="0"/>
        <v>0</v>
      </c>
      <c r="K13" s="1383">
        <f t="shared" si="0"/>
        <v>0</v>
      </c>
      <c r="L13" s="1392">
        <f t="shared" si="0"/>
        <v>0</v>
      </c>
      <c r="M13" s="1392">
        <f t="shared" si="0"/>
        <v>0</v>
      </c>
      <c r="N13" s="1392">
        <f t="shared" si="0"/>
        <v>87</v>
      </c>
      <c r="O13" s="1393">
        <f t="shared" si="0"/>
        <v>0</v>
      </c>
      <c r="P13" s="1393">
        <f t="shared" si="0"/>
        <v>0</v>
      </c>
      <c r="Q13" s="1392">
        <f t="shared" si="0"/>
        <v>680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44</v>
      </c>
      <c r="AC13" s="1392">
        <f t="shared" si="1"/>
        <v>328</v>
      </c>
      <c r="AD13" s="1392">
        <f t="shared" si="1"/>
        <v>0</v>
      </c>
      <c r="AE13" s="1392">
        <f t="shared" si="1"/>
        <v>0</v>
      </c>
      <c r="AF13" s="1392">
        <f t="shared" si="1"/>
        <v>105</v>
      </c>
      <c r="AG13" s="1392">
        <f t="shared" si="1"/>
        <v>0</v>
      </c>
      <c r="AH13" s="1392">
        <f t="shared" si="1"/>
        <v>340</v>
      </c>
      <c r="AI13" s="1392">
        <f t="shared" si="1"/>
        <v>0</v>
      </c>
      <c r="AJ13" s="1392">
        <f t="shared" si="1"/>
        <v>0</v>
      </c>
      <c r="AK13" s="1392">
        <f t="shared" si="1"/>
        <v>0</v>
      </c>
      <c r="AL13" s="1392">
        <f t="shared" si="1"/>
        <v>0</v>
      </c>
      <c r="AM13" s="1392">
        <f t="shared" si="1"/>
        <v>7616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406</v>
      </c>
      <c r="BD13" s="1392">
        <f t="shared" si="1"/>
        <v>851</v>
      </c>
      <c r="BE13" s="1392">
        <f t="shared" si="1"/>
        <v>0</v>
      </c>
      <c r="BF13" s="1392">
        <f t="shared" si="1"/>
        <v>0</v>
      </c>
      <c r="BG13" s="1392">
        <f>IF(ISNUMBER(Datos!K13/Datos!J13),Datos!K13/Datos!J13," - ")</f>
        <v>0.82393330063756742</v>
      </c>
      <c r="BH13" s="1396">
        <f>IF(ISNUMBER(((Datos!L13/Datos!K13)*11)/factor_trimestre),((Datos!L13/Datos!K13)*11)/factor_trimestre," - ")</f>
        <v>18.846428571428572</v>
      </c>
      <c r="BI13" s="1392">
        <f>IF(ISNUMBER('Resol  Asuntos'!D13/NºAsuntos!G13),'Resol  Asuntos'!D13/NºAsuntos!G13," - ")</f>
        <v>0.22950819672131148</v>
      </c>
      <c r="BJ13" s="1392" t="str">
        <f>IF(ISNUMBER(Datos!CI13/Datos!CJ13),Datos!CI13/Datos!CJ13," - ")</f>
        <v xml:space="preserve"> - </v>
      </c>
      <c r="BK13" s="1392">
        <f>SUBTOTAL(9,BK8:BK12)</f>
        <v>0</v>
      </c>
      <c r="BL13" s="1392">
        <f>IF(ISNUMBER((I13-AB13+L13)/(F13)),(I13-AB13+L13)/(F13)," - ")</f>
        <v>-0.43564356435643564</v>
      </c>
      <c r="BM13" s="1397">
        <f>SUBTOTAL(9,BM9:BM12)</f>
        <v>0.1101324944368447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3891</v>
      </c>
      <c r="G17" s="1335">
        <f>IF(ISNUMBER(IF(D_I="SI",Datos!I17,Datos!I17+Datos!AC17)),IF(D_I="SI",Datos!I17,Datos!I17+Datos!AC17)," - ")</f>
        <v>3879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1625</v>
      </c>
      <c r="AC17" s="1215">
        <f>IF(ISNUMBER(Datos!Q17),Datos!Q17," - ")</f>
        <v>12</v>
      </c>
      <c r="AD17" s="1247"/>
      <c r="AE17" s="1262"/>
      <c r="AF17" s="1333">
        <f>IF(ISNUMBER(IF(D_I="SI",Datos!L17,Datos!L17+Datos!AF17)),IF(D_I="SI",Datos!L17,Datos!L17+Datos!AF17)," - ")</f>
        <v>4030</v>
      </c>
      <c r="AG17" s="1247"/>
      <c r="AH17" s="1247"/>
      <c r="AI17" s="1247"/>
      <c r="AJ17" s="1247"/>
      <c r="AK17" s="1247"/>
      <c r="AL17" s="1258"/>
      <c r="AM17" s="1248">
        <f>IF(ISNUMBER(Datos!R17),Datos!R17," - ")</f>
        <v>160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160</v>
      </c>
      <c r="BD17" s="1218">
        <f>IF(ISNUMBER(Datos!N17),Datos!N17," - ")</f>
        <v>1226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0.92120181405895696</v>
      </c>
      <c r="BH17" s="1226">
        <f>IF(ISNUMBER(((IF(D_I="SI",Datos!L17/Datos!K17,(Datos!L17+Datos!AF17)/(Datos!K17+Datos!AE17)))*11)/factor_trimestre),((IF(D_I="SI",Datos!L17/Datos!K17,(Datos!L17+Datos!AF17)/(Datos!K17+Datos!AE17)))*11)/factor_trimestre," - ")</f>
        <v>7.44</v>
      </c>
      <c r="BI17" s="1223">
        <f>IF(ISNUMBER('Resol  Asuntos'!D17/NºAsuntos!G17),'Resol  Asuntos'!D17/NºAsuntos!G17," - ")</f>
        <v>9.8461538461538461E-2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202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107</v>
      </c>
      <c r="AC18" s="1215">
        <f>IF(ISNUMBER(Datos!Q18),Datos!Q18," - ")</f>
        <v>0</v>
      </c>
      <c r="AD18" s="1247"/>
      <c r="AE18" s="1262"/>
      <c r="AF18" s="1245">
        <f>IF(ISNUMBER(Datos!L18),Datos!L18,"-")</f>
        <v>253</v>
      </c>
      <c r="AG18" s="1247"/>
      <c r="AH18" s="1247"/>
      <c r="AI18" s="1247"/>
      <c r="AJ18" s="1247"/>
      <c r="AK18" s="1247"/>
      <c r="AL18" s="1258"/>
      <c r="AM18" s="1248">
        <f>IF(ISNUMBER(Datos!R18),Datos!R18," - ")</f>
        <v>15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20</v>
      </c>
      <c r="BD18" s="1218">
        <f>IF(ISNUMBER(Datos!N18),Datos!N18," - ")</f>
        <v>56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0.6858974358974359</v>
      </c>
      <c r="BH18" s="1226">
        <f>IF(ISNUMBER(((IF(D_I="SI",Datos!L18/Datos!K18,(Datos!L18+Datos!AF18)/(Datos!K18+Datos!AE18)))*11)/factor_trimestre),((IF(D_I="SI",Datos!L18/Datos!K18,(Datos!L18+Datos!AF18)/(Datos!K18+Datos!AE18)))*11)/factor_trimestre," - ")</f>
        <v>7.0934579439252339</v>
      </c>
      <c r="BI18" s="1223">
        <f>IF(ISNUMBER('Resol  Asuntos'!D18/NºAsuntos!G18),'Resol  Asuntos'!D18/NºAsuntos!G18," - ")</f>
        <v>0.18691588785046728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3891</v>
      </c>
      <c r="G19" s="1391">
        <f>SUBTOTAL(9,G15:G18)</f>
        <v>4081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1732</v>
      </c>
      <c r="AC19" s="1392">
        <f t="shared" si="4"/>
        <v>12</v>
      </c>
      <c r="AD19" s="1392">
        <f t="shared" si="4"/>
        <v>0</v>
      </c>
      <c r="AE19" s="1392">
        <f t="shared" si="4"/>
        <v>0</v>
      </c>
      <c r="AF19" s="1392">
        <f t="shared" si="4"/>
        <v>4283</v>
      </c>
      <c r="AG19" s="1392">
        <f t="shared" si="4"/>
        <v>0</v>
      </c>
      <c r="AH19" s="1392">
        <f t="shared" si="4"/>
        <v>0</v>
      </c>
      <c r="AI19" s="1392">
        <f t="shared" si="4"/>
        <v>0</v>
      </c>
      <c r="AJ19" s="1392">
        <f t="shared" si="4"/>
        <v>0</v>
      </c>
      <c r="AK19" s="1392">
        <f t="shared" si="4"/>
        <v>0</v>
      </c>
      <c r="AL19" s="1392">
        <f t="shared" si="4"/>
        <v>0</v>
      </c>
      <c r="AM19" s="1392">
        <f t="shared" si="4"/>
        <v>175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180</v>
      </c>
      <c r="BD19" s="1392">
        <f t="shared" si="4"/>
        <v>1282</v>
      </c>
      <c r="BE19" s="1392">
        <f t="shared" si="4"/>
        <v>0</v>
      </c>
      <c r="BF19" s="1392">
        <f t="shared" si="4"/>
        <v>0</v>
      </c>
      <c r="BG19" s="1392">
        <f>IF(ISNUMBER(Datos!K19/Datos!J19),Datos!K19/Datos!J19," - ")</f>
        <v>0.90208333333333335</v>
      </c>
      <c r="BH19" s="1396">
        <f>IF(ISNUMBER(((Datos!L19/Datos!K19)*11)/factor_trimestre),((Datos!L19/Datos!K19)*11)/factor_trimestre," - ")</f>
        <v>7.418591224018475</v>
      </c>
      <c r="BI19" s="1392">
        <f>SUBTOTAL(9,BI15:BI18)</f>
        <v>0.28537742631200574</v>
      </c>
      <c r="BJ19" s="1392">
        <f>SUBTOTAL(9,BJ15:BJ18)</f>
        <v>0</v>
      </c>
      <c r="BK19" s="1392">
        <f>SUBTOTAL(9,BK15:BK18)</f>
        <v>0</v>
      </c>
      <c r="BL19" s="1392">
        <f>IF(ISNUMBER((I19-AB19+L19)/(F19)),(I19-AB19+L19)/(F19)," - ")</f>
        <v>-0.44512978668722691</v>
      </c>
      <c r="BM19" s="1398">
        <f>IF(ISNUMBER((Datos!P19-Datos!Q19)/(Datos!R19-Datos!P19+Datos!Q19)),(Datos!P19-Datos!Q19)/(Datos!R19-Datos!P19+Datos!Q19)," - ")</f>
        <v>-1.6853932584269662E-2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3992</v>
      </c>
      <c r="G20" s="1367">
        <f t="shared" si="6"/>
        <v>4182</v>
      </c>
      <c r="H20" s="1369">
        <f t="shared" si="6"/>
        <v>0</v>
      </c>
      <c r="I20" s="1367">
        <f t="shared" si="6"/>
        <v>0</v>
      </c>
      <c r="J20" s="1369">
        <f t="shared" si="6"/>
        <v>0</v>
      </c>
      <c r="K20" s="1369">
        <f t="shared" si="6"/>
        <v>0</v>
      </c>
      <c r="L20" s="1386">
        <f t="shared" si="6"/>
        <v>0</v>
      </c>
      <c r="M20" s="1386">
        <f t="shared" si="6"/>
        <v>0</v>
      </c>
      <c r="N20" s="1386">
        <f t="shared" si="6"/>
        <v>87</v>
      </c>
      <c r="O20" s="1386">
        <f t="shared" si="6"/>
        <v>0</v>
      </c>
      <c r="P20" s="1386">
        <f t="shared" si="6"/>
        <v>0</v>
      </c>
      <c r="Q20" s="1369">
        <f t="shared" si="6"/>
        <v>689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1776</v>
      </c>
      <c r="AC20" s="1368">
        <f t="shared" si="7"/>
        <v>340</v>
      </c>
      <c r="AD20" s="1368">
        <f t="shared" si="7"/>
        <v>0</v>
      </c>
      <c r="AE20" s="1368">
        <f t="shared" si="7"/>
        <v>0</v>
      </c>
      <c r="AF20" s="1371">
        <f t="shared" si="7"/>
        <v>4388</v>
      </c>
      <c r="AG20" s="1371">
        <f t="shared" si="7"/>
        <v>0</v>
      </c>
      <c r="AH20" s="1371">
        <f t="shared" si="7"/>
        <v>340</v>
      </c>
      <c r="AI20" s="1371">
        <f t="shared" si="7"/>
        <v>0</v>
      </c>
      <c r="AJ20" s="1368">
        <f t="shared" si="7"/>
        <v>0</v>
      </c>
      <c r="AK20" s="1371">
        <f t="shared" si="7"/>
        <v>0</v>
      </c>
      <c r="AL20" s="1371">
        <f t="shared" si="7"/>
        <v>0</v>
      </c>
      <c r="AM20" s="1371">
        <f t="shared" si="7"/>
        <v>7791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586</v>
      </c>
      <c r="BD20" s="1367">
        <f t="shared" si="7"/>
        <v>2133</v>
      </c>
      <c r="BE20" s="1367">
        <f t="shared" si="7"/>
        <v>0</v>
      </c>
      <c r="BF20" s="1373">
        <f t="shared" si="7"/>
        <v>0</v>
      </c>
      <c r="BG20" s="1404">
        <f>IF(ISNUMBER(Datos!K20/Datos!J20),Datos!K20/Datos!J20," - ")</f>
        <v>0.86183379641323565</v>
      </c>
      <c r="BH20" s="1404">
        <f>IF(ISNUMBER(((Datos!L20/Datos!K20)*11)/factor_trimestre),((Datos!L20/Datos!K20)*11)/factor_trimestre," - ")</f>
        <v>13.045427901524034</v>
      </c>
      <c r="BI20" s="1362">
        <f>IF(ISNUMBER(Datos!J20/Datos!I20),Datos!J20/Datos!I20," - ")</f>
        <v>0.27704688593421972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-0.44488977955911824</v>
      </c>
      <c r="BM20" s="1387">
        <f>IF(ISNUMBER((Datos!P20-Datos!Q20+R20)/(Datos!R20-Datos!P20+Datos!Q20-R20)),(Datos!P20-Datos!Q20+R20)/(Datos!R20-Datos!P20+Datos!Q20-R20)," - ")</f>
        <v>4.6895995700080621E-2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1672.8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3.7357135269658399</v>
      </c>
      <c r="F22" s="1298">
        <f>IF(ISNUMBER(STDEV(F8:F19)),STDEV(F8:F19),"-")</f>
        <v>2188.1575202286817</v>
      </c>
      <c r="G22" s="1299">
        <f>IF(ISNUMBER(STDEV(G8:G19)),STDEV(G8:G19),"-")</f>
        <v>2107.7896479487699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884.93350032643696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176.59294059125543</v>
      </c>
      <c r="BD22" s="1298"/>
      <c r="BE22" s="1298">
        <f>IF(ISNUMBER(STDEV(BE8:BE19)),STDEV(BE8:BE19),"-")</f>
        <v>0</v>
      </c>
      <c r="BF22" s="1303">
        <f>IF(ISNUMBER(STDEV(BF8:BF19)),STDEV(BF8:BF19),"-")</f>
        <v>0</v>
      </c>
      <c r="BG22" s="1360">
        <f>IF(ISNUMBER(STDEV(BG8:BG19)),STDEV(BG8:BG19),"-")</f>
        <v>8.9625518653492095E-2</v>
      </c>
      <c r="BH22" s="1361">
        <f>IF(ISNUMBER(STDEV(BH8:BH19)),STDEV(BH8:BH19),"-")</f>
        <v>5.9542443163478218</v>
      </c>
      <c r="BI22" s="1224">
        <f>IF(ISNUMBER(STDEV(BI8:BI19)),STDEV(BI8:BI19),"-")</f>
        <v>7.8827394690351299E-2</v>
      </c>
      <c r="BJ22" s="1219" t="str">
        <f>IF(ISNUMBER(BL22/BM22),BL22/BM22," - ")</f>
        <v xml:space="preserve"> - </v>
      </c>
      <c r="BK22" s="1320"/>
      <c r="BL22" s="1306">
        <f>IF(ISNUMBER(STDEV(BL8:BL19)),STDEV(BL8:BL19),"-")</f>
        <v>6.7077721379457649E-3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ulwoRW0Ewe6KpSiAW4kllkSz/IpnvJEoJ41wJRnefiPs8rOJhwvcRW7wmf0gTL/cmPK/2uMsFK0MDMrnAnMg==" saltValue="GoDLMNxedJ89oRbsOGy4E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 FELIU DE LLOBREGAT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101</v>
      </c>
      <c r="G10" s="224">
        <f>IF(ISNUMBER(Datos!I10),Datos!I10," - ")</f>
        <v>101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44</v>
      </c>
      <c r="Z10" s="617">
        <f>IF(ISNUMBER(Datos!Q10),Datos!Q10," - ")</f>
        <v>7</v>
      </c>
      <c r="AA10" s="331">
        <f>IF(ISNUMBER(Datos!L10),Datos!L10,"-")</f>
        <v>105</v>
      </c>
      <c r="AB10" s="333"/>
      <c r="AC10" s="333"/>
      <c r="AD10" s="483"/>
      <c r="AE10" s="483">
        <f>IF(ISNUMBER(Datos!R10),Datos!R10," - ")</f>
        <v>103</v>
      </c>
      <c r="AF10" s="228" t="str">
        <f>IF(ISNUMBER(Datos!BV10),Datos!BV10," - ")</f>
        <v xml:space="preserve"> - </v>
      </c>
      <c r="AG10" s="224" t="str">
        <f>IF(ISNUMBER(Datos!DV10),Datos!DV10," - ")</f>
        <v xml:space="preserve"> - </v>
      </c>
      <c r="AH10" s="297"/>
      <c r="AI10" s="226"/>
      <c r="AJ10" s="224">
        <f>IF(ISNUMBER(Datos!M10),Datos!M10," - ")</f>
        <v>4</v>
      </c>
      <c r="AK10" s="228">
        <f>IF(ISNUMBER(Datos!N10),Datos!N10," - ")</f>
        <v>23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7.1590909090909092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6.1855670103092786E-2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321</v>
      </c>
      <c r="AA12" s="331" t="str">
        <f>IF(ISNUMBER(IF(J_V="SI",Datos!L12,Datos!L12+Datos!AB12)-IF(Monitorios="SI",Datos!CD12,0)),
                          IF(J_V="SI",Datos!L12,Datos!L12+Datos!AB12)-IF(Monitorios="SI",Datos!CD12,0),
                          " - ")</f>
        <v xml:space="preserve"> - </v>
      </c>
      <c r="AB12" s="333"/>
      <c r="AC12" s="333"/>
      <c r="AD12" s="483"/>
      <c r="AE12" s="483">
        <f>IF(ISNUMBER(Datos!R12),Datos!R12," - ")</f>
        <v>7513</v>
      </c>
      <c r="AF12" s="228" t="str">
        <f>IF(ISNUMBER(Datos!BV12),Datos!BV12," - ")</f>
        <v xml:space="preserve"> - </v>
      </c>
      <c r="AG12" s="224" t="str">
        <f>IF(ISNUMBER(Datos!DV12),Datos!DV12," - ")</f>
        <v xml:space="preserve"> - </v>
      </c>
      <c r="AH12" s="297"/>
      <c r="AI12" s="226"/>
      <c r="AJ12" s="224">
        <f>IF(ISNUMBER(Datos!M12),Datos!M12," - ")</f>
        <v>402</v>
      </c>
      <c r="AK12" s="228">
        <f>IF(ISNUMBER(Datos!N12),Datos!N12," - ")</f>
        <v>828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18.763478260869569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4.8276824333751918E-2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101</v>
      </c>
      <c r="G13" s="895">
        <f>SUBTOTAL(9,G8:G12)</f>
        <v>101</v>
      </c>
      <c r="H13" s="905"/>
      <c r="I13" s="895">
        <f t="shared" ref="I13:N13" si="0">SUBTOTAL(9,I8:I12)</f>
        <v>0</v>
      </c>
      <c r="J13" s="864">
        <f t="shared" si="0"/>
        <v>0</v>
      </c>
      <c r="K13" s="905">
        <f t="shared" si="0"/>
        <v>0</v>
      </c>
      <c r="L13" s="905">
        <f t="shared" si="0"/>
        <v>0</v>
      </c>
      <c r="M13" s="905">
        <f t="shared" si="0"/>
        <v>0</v>
      </c>
      <c r="N13" s="905">
        <f t="shared" si="0"/>
        <v>680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44</v>
      </c>
      <c r="Z13" s="904">
        <f t="shared" si="2"/>
        <v>328</v>
      </c>
      <c r="AA13" s="897">
        <f t="shared" si="2"/>
        <v>105</v>
      </c>
      <c r="AB13" s="897">
        <f t="shared" si="2"/>
        <v>0</v>
      </c>
      <c r="AC13" s="897">
        <f t="shared" si="2"/>
        <v>0</v>
      </c>
      <c r="AD13" s="897">
        <f t="shared" si="2"/>
        <v>0</v>
      </c>
      <c r="AE13" s="897">
        <f t="shared" si="2"/>
        <v>7616</v>
      </c>
      <c r="AF13" s="905">
        <f t="shared" si="2"/>
        <v>0</v>
      </c>
      <c r="AG13" s="905">
        <f t="shared" si="2"/>
        <v>0</v>
      </c>
      <c r="AH13" s="905">
        <f t="shared" si="2"/>
        <v>0</v>
      </c>
      <c r="AI13" s="905">
        <f t="shared" si="2"/>
        <v>0</v>
      </c>
      <c r="AJ13" s="905">
        <f t="shared" si="2"/>
        <v>406</v>
      </c>
      <c r="AK13" s="905">
        <f t="shared" si="2"/>
        <v>851</v>
      </c>
      <c r="AL13" s="905">
        <f t="shared" si="2"/>
        <v>0</v>
      </c>
      <c r="AM13" s="905">
        <f t="shared" si="2"/>
        <v>0</v>
      </c>
      <c r="AN13" s="905">
        <f t="shared" si="2"/>
        <v>0</v>
      </c>
      <c r="AO13" s="901">
        <f>IF(ISNUMBER(((NºAsuntos!I13/NºAsuntos!G13)*11)/factor_trimestre),((NºAsuntos!I13/NºAsuntos!G13)*11)/factor_trimestre," - ")</f>
        <v>18.474844544940645</v>
      </c>
      <c r="AP13" s="907" t="str">
        <f>IF(ISNUMBER(Datos!CI13/Datos!CJ13),Datos!CI13/Datos!CJ13," - ")</f>
        <v xml:space="preserve"> - </v>
      </c>
      <c r="AQ13" s="923">
        <f t="shared" ref="AQ13:AV13" si="3">SUBTOTAL(9,AQ9:AQ12)</f>
        <v>0</v>
      </c>
      <c r="AR13" s="923">
        <f t="shared" si="3"/>
        <v>0.1101324944368447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3891</v>
      </c>
      <c r="G17" s="224">
        <f>IF(ISNUMBER(IF(D_I="SI",Datos!I17,Datos!I17+Datos!AC17)),IF(D_I="SI",Datos!I17,Datos!I17+Datos!AC17)," - ")</f>
        <v>3879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1625</v>
      </c>
      <c r="Z17" s="617">
        <f>IF(ISNUMBER(Datos!Q17),Datos!Q17," - ")</f>
        <v>12</v>
      </c>
      <c r="AA17" s="331">
        <f>IF(ISNUMBER(IF(D_I="SI",Datos!L17,Datos!L17+Datos!AF17)),IF(D_I="SI",Datos!L17,Datos!L17+Datos!AF17)," - ")</f>
        <v>4030</v>
      </c>
      <c r="AB17" s="333"/>
      <c r="AC17" s="333"/>
      <c r="AD17" s="483"/>
      <c r="AE17" s="483">
        <f>IF(ISNUMBER(Datos!R17),Datos!R17," - ")</f>
        <v>160</v>
      </c>
      <c r="AF17" s="228" t="str">
        <f>IF(ISNUMBER(Datos!BV17),Datos!BV17," - ")</f>
        <v xml:space="preserve"> - </v>
      </c>
      <c r="AG17" s="224"/>
      <c r="AH17" s="297"/>
      <c r="AI17" s="226"/>
      <c r="AJ17" s="224">
        <f>IF(ISNUMBER(Datos!M17),Datos!M17," - ")</f>
        <v>160</v>
      </c>
      <c r="AK17" s="228">
        <f>IF(ISNUMBER(Datos!N17),Datos!N17," - ")</f>
        <v>1226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7.44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202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107</v>
      </c>
      <c r="Z18" s="617">
        <f>IF(ISNUMBER(Datos!Q18),Datos!Q18," - ")</f>
        <v>0</v>
      </c>
      <c r="AA18" s="331">
        <f>IF(ISNUMBER(Datos!L18),Datos!L18,"-")</f>
        <v>253</v>
      </c>
      <c r="AB18" s="333"/>
      <c r="AC18" s="333"/>
      <c r="AD18" s="483"/>
      <c r="AE18" s="483">
        <f>IF(ISNUMBER(Datos!R18),Datos!R18," - ")</f>
        <v>15</v>
      </c>
      <c r="AF18" s="228" t="str">
        <f>IF(ISNUMBER(Datos!BV18),Datos!BV18," - ")</f>
        <v xml:space="preserve"> - </v>
      </c>
      <c r="AG18" s="224" t="str">
        <f>IF(ISNUMBER(Datos!DV18),Datos!DV18," - ")</f>
        <v xml:space="preserve"> - </v>
      </c>
      <c r="AH18" s="297"/>
      <c r="AI18" s="226"/>
      <c r="AJ18" s="224">
        <f>IF(ISNUMBER(Datos!M18),Datos!M18," - ")</f>
        <v>20</v>
      </c>
      <c r="AK18" s="228">
        <f>IF(ISNUMBER(Datos!N18),Datos!N18," - ")</f>
        <v>56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7.0934579439252339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3891</v>
      </c>
      <c r="G19" s="895">
        <f>SUBTOTAL(9,G15:G18)</f>
        <v>4081</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1732</v>
      </c>
      <c r="Z19" s="927">
        <f t="shared" si="5"/>
        <v>12</v>
      </c>
      <c r="AA19" s="927">
        <f t="shared" si="5"/>
        <v>4283</v>
      </c>
      <c r="AB19" s="927">
        <f t="shared" si="5"/>
        <v>0</v>
      </c>
      <c r="AC19" s="927">
        <f t="shared" si="5"/>
        <v>0</v>
      </c>
      <c r="AD19" s="927">
        <f t="shared" si="5"/>
        <v>0</v>
      </c>
      <c r="AE19" s="927">
        <f t="shared" si="5"/>
        <v>175</v>
      </c>
      <c r="AF19" s="927">
        <f t="shared" si="5"/>
        <v>0</v>
      </c>
      <c r="AG19" s="927">
        <f t="shared" si="5"/>
        <v>0</v>
      </c>
      <c r="AH19" s="927">
        <f t="shared" si="5"/>
        <v>0</v>
      </c>
      <c r="AI19" s="927">
        <f t="shared" si="5"/>
        <v>0</v>
      </c>
      <c r="AJ19" s="927">
        <f t="shared" si="5"/>
        <v>180</v>
      </c>
      <c r="AK19" s="927">
        <f t="shared" si="5"/>
        <v>1282</v>
      </c>
      <c r="AL19" s="927">
        <f t="shared" si="5"/>
        <v>0</v>
      </c>
      <c r="AM19" s="927">
        <f t="shared" si="5"/>
        <v>0</v>
      </c>
      <c r="AN19" s="927">
        <f t="shared" si="5"/>
        <v>0</v>
      </c>
      <c r="AO19" s="929">
        <f>IF(ISNUMBER(((NºAsuntos!I19/NºAsuntos!G19)*11)/factor_trimestre),((NºAsuntos!I19/NºAsuntos!G19)*11)/factor_trimestre," - ")</f>
        <v>7.418591224018475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3992</v>
      </c>
      <c r="G20" s="817">
        <f t="shared" si="7"/>
        <v>4182</v>
      </c>
      <c r="H20" s="818">
        <f t="shared" si="7"/>
        <v>0</v>
      </c>
      <c r="I20" s="817">
        <f t="shared" si="7"/>
        <v>0</v>
      </c>
      <c r="J20" s="819">
        <f t="shared" si="7"/>
        <v>0</v>
      </c>
      <c r="K20" s="817">
        <f t="shared" si="7"/>
        <v>0</v>
      </c>
      <c r="L20" s="820">
        <f t="shared" si="7"/>
        <v>0</v>
      </c>
      <c r="M20" s="817">
        <f t="shared" si="7"/>
        <v>0</v>
      </c>
      <c r="N20" s="818">
        <f t="shared" si="7"/>
        <v>689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1776</v>
      </c>
      <c r="Z20" s="824">
        <f t="shared" si="8"/>
        <v>340</v>
      </c>
      <c r="AA20" s="825">
        <f t="shared" si="8"/>
        <v>4388</v>
      </c>
      <c r="AB20" s="825">
        <f t="shared" si="8"/>
        <v>0</v>
      </c>
      <c r="AC20" s="825">
        <f t="shared" si="8"/>
        <v>0</v>
      </c>
      <c r="AD20" s="826">
        <f t="shared" si="8"/>
        <v>0</v>
      </c>
      <c r="AE20" s="826">
        <f t="shared" si="8"/>
        <v>7791</v>
      </c>
      <c r="AF20" s="827">
        <f t="shared" si="8"/>
        <v>0</v>
      </c>
      <c r="AG20" s="828">
        <f t="shared" si="8"/>
        <v>0</v>
      </c>
      <c r="AH20" s="829">
        <f t="shared" si="8"/>
        <v>0</v>
      </c>
      <c r="AI20" s="827">
        <f t="shared" si="8"/>
        <v>0</v>
      </c>
      <c r="AJ20" s="817">
        <f t="shared" si="8"/>
        <v>586</v>
      </c>
      <c r="AK20" s="817">
        <f t="shared" si="8"/>
        <v>2133</v>
      </c>
      <c r="AL20" s="817">
        <f t="shared" si="8"/>
        <v>0</v>
      </c>
      <c r="AM20" s="830">
        <f t="shared" si="8"/>
        <v>0</v>
      </c>
      <c r="AN20" s="820">
        <f>IF(ISNUMBER(Datos!K20/Datos!J20),Datos!K20/Datos!J20," - ")</f>
        <v>0.86183379641323565</v>
      </c>
      <c r="AO20" s="820">
        <f>IF(ISNUMBER(FIND("06",Criterios!A8,1)),(IF(ISNUMBER(((Datos!R20/Datos!Q20)*11)/factor_trimestre),((Datos!R20/Datos!Q20)*11)/factor_trimestre," - ")),(IF(ISNUMBER(((Datos!L20/Datos!K20)*11)/factor_trimestre),((Datos!L20/Datos!K20)*11)/factor_trimestre," - ")))</f>
        <v>13.045427901524034</v>
      </c>
      <c r="AP20" s="831" t="str">
        <f>IF(ISNUMBER(Datos!CI20/Datos!CJ20),Datos!CI20/Datos!CJ20," - ")</f>
        <v xml:space="preserve"> - </v>
      </c>
      <c r="AQ20" s="831">
        <f>IF(OR(ISNUMBER(FIND("01",Criterios!A8,1)),ISNUMBER(FIND("02",Criterios!A8,1)),ISNUMBER(FIND("03",Criterios!A8,1)),ISNUMBER(FIND("04",Criterios!A8,1))),(J20-Y20+K20)/(F20-K20),(I20-Y20+K20)/(F20-K20))</f>
        <v>-0.44488977955911824</v>
      </c>
      <c r="AR20" s="831">
        <f>IF(ISNUMBER((Datos!P20-Datos!Q20+O20)/(Datos!R20-Datos!P20+Datos!Q20-O20)),(Datos!P20-Datos!Q20+O20)/(Datos!R20-Datos!P20+Datos!Q20-O20)," - ")</f>
        <v>4.6895995700080621E-2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1672.8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2188.1575202286817</v>
      </c>
      <c r="G22" s="551">
        <f>IF(ISNUMBER(STDEV(G8:G19)),STDEV(G8:G19),"-")</f>
        <v>2107.7896479487699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176.59294059125543</v>
      </c>
      <c r="AK22" s="251"/>
      <c r="AL22" s="251">
        <f>IF(ISNUMBER(STDEV(AL8:AL19)),STDEV(AL8:AL19),"-")</f>
        <v>0</v>
      </c>
      <c r="AM22" s="253">
        <f>IF(ISNUMBER(STDEV(AM8:AM19)),STDEV(AM8:AM19),"-")</f>
        <v>0</v>
      </c>
      <c r="AN22" s="538">
        <f>IF(ISNUMBER(STDEV(AN8:AN19)),STDEV(AN8:AN19),"-")</f>
        <v>0</v>
      </c>
      <c r="AO22" s="539">
        <f>IF(ISNUMBER(STDEV(AO8:AO19)),STDEV(AO8:AO19),"-")</f>
        <v>5.8589808657842344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stj1174bgjPF2WNL9BX8wKzH5T3QJMzv5B4bA3xmfc+lYFA8tOO8bTjIIR1u0RUSpDDeIfGcGmF42SeqEcrxwg==" saltValue="fshY2iAc9OMSzYWmbHve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qoJ0DIt0WWr1cPrwInTYWnrC3eqcU5JO0Aj/oe1Atg3TG4cJ+o8YrucEog2GLRDECkyMgBSzUBEGd7U1Jx6uw==" saltValue="ds2U6TUc/491WocWUZsM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A21U7+WwEUooU756k/h7fZeiZEf6IkIC1ucDWR8cDi/lRht29G3NeqIQzuyrn2bFROnxfoY5x54fRoiZOXqXg==" saltValue="yKdVkn2MsnswKdZzQiTUw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SANT FELIU DE LLOBREGAT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0.22950819672131148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0.16228680223953551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BpUWdATNp50yaF/WmsHSzjXhn51zgkgxCcFx14D6yoW/mGyy+JwAPcq4O7sdfz6jisn/pmxmTAkbFqVjO1bTQ==" saltValue="c/XehOfZhNlDMLQf1N2UY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sroV0mAH2drnH6W3X2WuIkEgq0qXPzelZWzUfPUA1C+uh4Y5NoKXLFEmwGktoAGmqipYZ6JIw1OGDfwzBTnbQ==" saltValue="XWGzg0Um/LOLjEbiPQa7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 FELIU DE LLOBREGAT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101</v>
      </c>
      <c r="D10" s="403">
        <f>IF(ISNUMBER(C10/Datos!BH10),C10/Datos!BH10," - ")</f>
        <v>101</v>
      </c>
      <c r="E10" s="402">
        <f>IF(ISNUMBER(Datos!J10),Datos!J10," - ")</f>
        <v>48</v>
      </c>
      <c r="F10" s="403">
        <f>IF(ISNUMBER(E10/B10),E10/B10," - ")</f>
        <v>48</v>
      </c>
      <c r="G10" s="402">
        <f>IF(ISNUMBER(Datos!K10),Datos!K10," - ")</f>
        <v>44</v>
      </c>
      <c r="H10" s="403">
        <f>IF(ISNUMBER(G10/B10),G10/B10," - ")</f>
        <v>44</v>
      </c>
      <c r="I10" s="402">
        <f>IF(ISNUMBER(Datos!L10),Datos!L10," - ")</f>
        <v>105</v>
      </c>
      <c r="J10" s="403">
        <f>IF(ISNUMBER(I10/B10),I10/B10," - ")</f>
        <v>105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10450</v>
      </c>
      <c r="D12" s="403">
        <f>IF(ISNUMBER(C12/Datos!BH12),C12/Datos!BH12," - ")</f>
        <v>1492.8571428571429</v>
      </c>
      <c r="E12" s="402">
        <f>IF(ISNUMBER(IF(J_V="SI",Datos!J12,Datos!J12+Datos!Z12)),IF(J_V="SI",Datos!J12,Datos!J12+Datos!Z12)," - ")</f>
        <v>2078</v>
      </c>
      <c r="F12" s="403">
        <f>IF(ISNUMBER(E12/B12),E12/B12," - ")</f>
        <v>296.85714285714283</v>
      </c>
      <c r="G12" s="402">
        <f>IF(ISNUMBER(IF(J_V="SI",Datos!K12,Datos!K12+Datos!AA12)),IF(J_V="SI",Datos!K12,Datos!K12+Datos!AA12)," - ")</f>
        <v>1725</v>
      </c>
      <c r="H12" s="403">
        <f>IF(ISNUMBER(G12/B12),G12/B12," - ")</f>
        <v>246.42857142857142</v>
      </c>
      <c r="I12" s="402">
        <f>IF(ISNUMBER(IF(J_V="SI",Datos!L12,Datos!L12+Datos!AB12)),IF(J_V="SI",Datos!L12,Datos!L12+Datos!AB12)," - ")</f>
        <v>10789</v>
      </c>
      <c r="J12" s="403">
        <f>IF(ISNUMBER(I12/B12),I12/B12," - ")</f>
        <v>1541.2857142857142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10551</v>
      </c>
      <c r="D13" s="847" t="str">
        <f>IF(ISNUMBER(C13/Datos!BI13),C13/Datos!BI13," - ")</f>
        <v xml:space="preserve"> - </v>
      </c>
      <c r="E13" s="846">
        <f>SUBTOTAL(9,E8:E12)</f>
        <v>2126</v>
      </c>
      <c r="F13" s="847">
        <f>IF(ISNUMBER(E13/B13),E13/B13," - ")</f>
        <v>265.75</v>
      </c>
      <c r="G13" s="846">
        <f>SUBTOTAL(9,G8:G12)</f>
        <v>1769</v>
      </c>
      <c r="H13" s="847">
        <f>IF(ISNUMBER(G13/B13),G13/B13," - ")</f>
        <v>221.125</v>
      </c>
      <c r="I13" s="846">
        <f>SUBTOTAL(9,I8:I12)</f>
        <v>10894</v>
      </c>
      <c r="J13" s="847">
        <f>IF(ISNUMBER(I13/B13),I13/B13," - ")</f>
        <v>1361.75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3879</v>
      </c>
      <c r="D17" s="403">
        <f>IF(ISNUMBER(C17/Datos!BH17),C17/Datos!BH17," - ")</f>
        <v>554.14285714285711</v>
      </c>
      <c r="E17" s="402">
        <f>IF(ISNUMBER(IF(D_I="SI",Datos!J17,Datos!J17+Datos!AD17)),IF(D_I="SI",Datos!J17,Datos!J17+Datos!AD17)," - ")</f>
        <v>1764</v>
      </c>
      <c r="F17" s="403">
        <f>IF(ISNUMBER(E17/B17),E17/B17," - ")</f>
        <v>252</v>
      </c>
      <c r="G17" s="402">
        <f>IF(ISNUMBER(IF(D_I="SI",Datos!K17,Datos!K17+Datos!AE17)),IF(D_I="SI",Datos!K17,Datos!K17+Datos!AE17)," - ")</f>
        <v>1625</v>
      </c>
      <c r="H17" s="403">
        <f>IF(ISNUMBER(G17/B17),G17/B17," - ")</f>
        <v>232.14285714285714</v>
      </c>
      <c r="I17" s="402">
        <f>IF(ISNUMBER(IF(D_I="SI",Datos!L17,Datos!L17+Datos!AF17)),IF(D_I="SI",Datos!L17,Datos!L17+Datos!AF17)," - ")</f>
        <v>4030</v>
      </c>
      <c r="J17" s="403">
        <f>IF(ISNUMBER(I17/B17),I17/B17," - ")</f>
        <v>575.71428571428567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202</v>
      </c>
      <c r="D18" s="403">
        <f>IF(ISNUMBER(C18/Datos!BH18),C18/Datos!BH18," - ")</f>
        <v>202</v>
      </c>
      <c r="E18" s="402">
        <f>IF(ISNUMBER(IF(D_I="SI",Datos!J18,Datos!J18+Datos!AD18)),IF(D_I="SI",Datos!J18,Datos!J18+Datos!AD18)," - ")</f>
        <v>156</v>
      </c>
      <c r="F18" s="403">
        <f>IF(ISNUMBER(E18/B18),E18/B18," - ")</f>
        <v>156</v>
      </c>
      <c r="G18" s="402">
        <f>IF(ISNUMBER(IF(D_I="SI",Datos!K18,Datos!K18+Datos!AE18)),IF(D_I="SI",Datos!K18,Datos!K18+Datos!AE18)," - ")</f>
        <v>107</v>
      </c>
      <c r="H18" s="403">
        <f>IF(ISNUMBER(G18/B18),G18/B18," - ")</f>
        <v>107</v>
      </c>
      <c r="I18" s="402">
        <f>IF(ISNUMBER(IF(D_I="SI",Datos!L18,Datos!L18+Datos!AF18)),IF(D_I="SI",Datos!L18,Datos!L18+Datos!AF18)," - ")</f>
        <v>253</v>
      </c>
      <c r="J18" s="403">
        <f>IF(ISNUMBER(I18/B18),I18/B18," - ")</f>
        <v>253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4081</v>
      </c>
      <c r="D19" s="847" t="str">
        <f>IF(ISNUMBER(C19/Datos!BI19),C19/Datos!BI19," - ")</f>
        <v xml:space="preserve"> - </v>
      </c>
      <c r="E19" s="846">
        <f>SUBTOTAL(9,E14:E18)</f>
        <v>1920</v>
      </c>
      <c r="F19" s="847">
        <f>IF(ISNUMBER(E19/B19),E19/B19," - ")</f>
        <v>240</v>
      </c>
      <c r="G19" s="846">
        <f>SUBTOTAL(9,G14:G18)</f>
        <v>1732</v>
      </c>
      <c r="H19" s="847">
        <f>IF(ISNUMBER(G19/B19),G19/B19," - ")</f>
        <v>216.5</v>
      </c>
      <c r="I19" s="846">
        <f>SUBTOTAL(9,I14:I18)</f>
        <v>4283</v>
      </c>
      <c r="J19" s="847">
        <f>IF(ISNUMBER(I19/B19),I19/B19," - ")</f>
        <v>535.375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14632</v>
      </c>
      <c r="D20" s="792" t="str">
        <f>IF(ISNUMBER(C20/Datos!BI20),C20/Datos!BI20," - ")</f>
        <v xml:space="preserve"> - </v>
      </c>
      <c r="E20" s="791">
        <f>SUBTOTAL(9,E9:E19)</f>
        <v>4046</v>
      </c>
      <c r="F20" s="792">
        <f>IF(ISNUMBER(E20/B20),E20/B20," - ")</f>
        <v>505.75</v>
      </c>
      <c r="G20" s="791">
        <f>SUBTOTAL(9,G9:G19)</f>
        <v>3501</v>
      </c>
      <c r="H20" s="792">
        <f>IF(ISNUMBER(G20/B20),G20/B20," - ")</f>
        <v>437.625</v>
      </c>
      <c r="I20" s="791">
        <f>SUBTOTAL(9,I9:I19)</f>
        <v>15177</v>
      </c>
      <c r="J20" s="792">
        <f>IF(ISNUMBER(I20/B20),I20/B20," - ")</f>
        <v>1897.125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IOCYuch+itZ4DPSqP+4pMH+SYE5fJp3Qrz1Zgf4J5NTEBuuaRVLFQZ6tqfei0hp+dSqkKlwZi3BenqBvN22+g==" saltValue="Xd+b04vgcctQ0RPHwFjWr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 FELIU DE LLOBREGAT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101</v>
      </c>
      <c r="G10" s="681">
        <f>IF(ISNUMBER(Datos!I10),Datos!I10," - ")</f>
        <v>101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44</v>
      </c>
      <c r="AC10" s="680" t="str">
        <f>IF(ISNUMBER(IF(D_I="SI",DatosP!K18,DatosP!K18+DatosP!AE18)),IF(D_I="SI",DatosP!K18,DatosP!K18+DatosP!AE18)," - ")</f>
        <v xml:space="preserve"> - </v>
      </c>
      <c r="AD10" s="682"/>
      <c r="AE10" s="682"/>
      <c r="AF10" s="685">
        <f>IF(ISNUMBER(Datos!L10),Datos!L10,"-")</f>
        <v>105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23</v>
      </c>
      <c r="AN10" s="687">
        <f>IF(ISNUMBER(Datos!BW10+DatosP!BW18),Datos!BW10+DatosP!BW18," - ")</f>
        <v>0</v>
      </c>
      <c r="AO10" s="688">
        <f>IF(ISNUMBER(Datos!BX10+DatosP!BX18),Datos!BX10+DatosP!BX18," - ")</f>
        <v>0</v>
      </c>
      <c r="AP10" s="690">
        <f>IF(ISNUMBER(((Datos!L10/Datos!K10)*11)/factor_trimestre),((Datos!L10/Datos!K10)*11)/factor_trimestre," - ")</f>
        <v>7.1590909090909092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667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321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7513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402</v>
      </c>
      <c r="AM12" s="687">
        <f>IF(ISNUMBER(Datos!N12+DatosP!N17),Datos!N12+DatosP!N17," - ")</f>
        <v>828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18.763478260869569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4.8276824333751918E-2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101</v>
      </c>
      <c r="G13" s="933">
        <f t="shared" si="0"/>
        <v>101</v>
      </c>
      <c r="H13" s="933">
        <f t="shared" si="0"/>
        <v>0</v>
      </c>
      <c r="I13" s="935">
        <f t="shared" si="0"/>
        <v>0</v>
      </c>
      <c r="J13" s="934">
        <f t="shared" si="0"/>
        <v>0</v>
      </c>
      <c r="K13" s="934">
        <f t="shared" si="0"/>
        <v>0</v>
      </c>
      <c r="L13" s="936">
        <f t="shared" si="0"/>
        <v>0</v>
      </c>
      <c r="M13" s="936">
        <f t="shared" si="0"/>
        <v>0</v>
      </c>
      <c r="N13" s="934">
        <f t="shared" si="0"/>
        <v>680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44</v>
      </c>
      <c r="AC13" s="934">
        <f t="shared" si="1"/>
        <v>0</v>
      </c>
      <c r="AD13" s="934">
        <f t="shared" si="1"/>
        <v>321</v>
      </c>
      <c r="AE13" s="934">
        <f t="shared" si="1"/>
        <v>0</v>
      </c>
      <c r="AF13" s="934">
        <f t="shared" si="1"/>
        <v>105</v>
      </c>
      <c r="AG13" s="934">
        <f t="shared" si="1"/>
        <v>0</v>
      </c>
      <c r="AH13" s="934">
        <f t="shared" si="1"/>
        <v>7513</v>
      </c>
      <c r="AI13" s="934">
        <f t="shared" si="1"/>
        <v>0</v>
      </c>
      <c r="AJ13" s="934">
        <f t="shared" si="1"/>
        <v>0</v>
      </c>
      <c r="AK13" s="934">
        <f t="shared" si="1"/>
        <v>0</v>
      </c>
      <c r="AL13" s="934">
        <f t="shared" si="1"/>
        <v>406</v>
      </c>
      <c r="AM13" s="934">
        <f t="shared" si="1"/>
        <v>851</v>
      </c>
      <c r="AN13" s="934">
        <f t="shared" si="1"/>
        <v>0</v>
      </c>
      <c r="AO13" s="934">
        <f t="shared" si="1"/>
        <v>0</v>
      </c>
      <c r="AP13" s="939">
        <f>IF(ISNUMBER(((Datos!L13/Datos!K13)*11)/factor_trimestre),((Datos!L13/Datos!K13)*11)/factor_trimestre," - ")</f>
        <v>18.846428571428572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-0.43564356435643564</v>
      </c>
      <c r="AU13" s="934" t="str">
        <f>IF(ISNUMBER((DatosP!#REF!-DatosP!#REF!+DatosP!#REF!)/(DatosP!#REF!+DatosP!#REF!-DatosP!#REF!-DatosP!#REF!)),(DatosP!#REF!-DatosP!#REF!+DatosP!#REF!)/(DatosP!#REF!+DatosP!#REF!-DatosP!#REF!-DatosP!#REF!)," - ")</f>
        <v xml:space="preserve"> - </v>
      </c>
      <c r="AV13" s="940">
        <f>SUBTOTAL(9,AV9:AV12)</f>
        <v>4.8276824333751918E-2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7.418591224018475</v>
      </c>
      <c r="AQ19" s="939">
        <f>IF(ISNUMBER(((Datos!M19/Datos!L19)*11)/factor_trimestre),((Datos!M19/Datos!L19)*11)/factor_trimestre," - ")</f>
        <v>0.12607985057202897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-1.6853932584269662E-2</v>
      </c>
      <c r="AW19" s="941">
        <f>IF(ISNUMBER((Datos!Q19-Datos!R19)/(Datos!S19-Datos!Q19+Datos!R19)),(Datos!Q19-Datos!R19)/(Datos!S19-Datos!Q19+Datos!R19)," - ")</f>
        <v>-4.4197396963123643E-2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101</v>
      </c>
      <c r="G20" s="946">
        <f t="shared" si="4"/>
        <v>101</v>
      </c>
      <c r="H20" s="946">
        <f t="shared" si="4"/>
        <v>0</v>
      </c>
      <c r="I20" s="947">
        <f t="shared" si="4"/>
        <v>0</v>
      </c>
      <c r="J20" s="948">
        <f t="shared" si="4"/>
        <v>0</v>
      </c>
      <c r="K20" s="948">
        <f t="shared" si="4"/>
        <v>0</v>
      </c>
      <c r="L20" s="948">
        <f t="shared" si="4"/>
        <v>0</v>
      </c>
      <c r="M20" s="948">
        <f t="shared" si="4"/>
        <v>0</v>
      </c>
      <c r="N20" s="947">
        <f t="shared" si="4"/>
        <v>680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44</v>
      </c>
      <c r="AC20" s="952">
        <f t="shared" si="5"/>
        <v>0</v>
      </c>
      <c r="AD20" s="952">
        <f t="shared" si="5"/>
        <v>321</v>
      </c>
      <c r="AE20" s="952">
        <f t="shared" si="5"/>
        <v>0</v>
      </c>
      <c r="AF20" s="953">
        <f t="shared" si="5"/>
        <v>105</v>
      </c>
      <c r="AG20" s="953">
        <f t="shared" si="5"/>
        <v>0</v>
      </c>
      <c r="AH20" s="953">
        <f t="shared" si="5"/>
        <v>7513</v>
      </c>
      <c r="AI20" s="953">
        <f t="shared" si="5"/>
        <v>0</v>
      </c>
      <c r="AJ20" s="954">
        <f t="shared" si="5"/>
        <v>0</v>
      </c>
      <c r="AK20" s="954">
        <f t="shared" si="5"/>
        <v>0</v>
      </c>
      <c r="AL20" s="946">
        <f t="shared" si="5"/>
        <v>406</v>
      </c>
      <c r="AM20" s="946">
        <f t="shared" si="5"/>
        <v>851</v>
      </c>
      <c r="AN20" s="946">
        <f t="shared" si="5"/>
        <v>0</v>
      </c>
      <c r="AO20" s="946">
        <f t="shared" si="5"/>
        <v>0</v>
      </c>
      <c r="AP20" s="946">
        <f>IF(ISNUMBER(((Datos!L20/Datos!K20)*11)/factor_trimestre),((Datos!L20/Datos!K20)*11)/factor_trimestre," - ")</f>
        <v>13.045427901524034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-0.43564356435643564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4.6895995700080621E-2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67.333333333333329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3.7771241264574122</v>
      </c>
      <c r="F22" s="733">
        <f>IF(ISNUMBER(STDEV(F8:F19)),STDEV(F8:F19),"-")</f>
        <v>58.312377188152198</v>
      </c>
      <c r="G22" s="734">
        <f>IF(ISNUMBER(STDEV(G8:G19)),STDEV(G8:G19),"-")</f>
        <v>58.312377188152198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25.40341184434353</v>
      </c>
      <c r="AC22" s="735">
        <f>IF(ISNUMBER(STDEV(AC8:AC19)),STDEV(AC8:AC19),"-")</f>
        <v>0</v>
      </c>
      <c r="AD22" s="738"/>
      <c r="AE22" s="738"/>
      <c r="AF22" s="738"/>
      <c r="AG22" s="738"/>
      <c r="AH22" s="738"/>
      <c r="AI22" s="738"/>
      <c r="AJ22" s="739">
        <f>IF(ISNUMBER(STDEV(AJ8:AJ19)),STDEV(AJ8:AJ19),"-")</f>
        <v>0</v>
      </c>
      <c r="AK22" s="741"/>
      <c r="AL22" s="733">
        <f>IF(ISNUMBER(STDEV(AL8:AL19)),STDEV(AL8:AL19),"-")</f>
        <v>232.10629748745151</v>
      </c>
      <c r="AM22" s="733"/>
      <c r="AN22" s="733">
        <f>IF(ISNUMBER(STDEV(AN8:AN19)),STDEV(AN8:AN19),"-")</f>
        <v>0</v>
      </c>
      <c r="AO22" s="739">
        <f>IF(ISNUMBER(STDEV(AO8:AO19)),STDEV(AO8:AO19),"-")</f>
        <v>0</v>
      </c>
      <c r="AP22" s="776">
        <f>IF(ISNUMBER(STDEV(AP8:AP19)),STDEV(AP8:AP19),"-")</f>
        <v>6.6497607533959346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O9ajs8+5nnNPsZnBue4msSIDNlA7xxU6SaLp7W77DfK9Ua7Zbz33A05yerJEUWBBYynh2URUnoIxkDu7qPwGQ==" saltValue="v1/Jebir2e/ade8ohfwh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SANT FELIU DE LLOBREGAT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621.29335003264373</v>
      </c>
      <c r="CF9" s="228">
        <f ca="1">AVERAGEIFS($AB:$AB,$BW:$BW,BW9,$BX:$BX,BX9)</f>
        <v>621.29335003264373</v>
      </c>
      <c r="CG9" s="1191">
        <v>0.7</v>
      </c>
      <c r="CH9" s="1191">
        <f ca="1">AVERAGEIF($BW:$BW,$BW9,$AC:$AC)</f>
        <v>102</v>
      </c>
      <c r="CI9" s="228">
        <f ca="1">AVERAGEIFS($AC:$AC,$BW:$BW,$BW9,$BX:$BX,$BX9)</f>
        <v>102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1462.6666666666667</v>
      </c>
      <c r="CR9" s="228">
        <f ca="1">AVERAGEIFS($AF:$AF,$BW:$BW,BW9,$BX:$BX,BX9)</f>
        <v>1462.6666666666667</v>
      </c>
      <c r="CS9" s="1191">
        <v>1.3</v>
      </c>
      <c r="CT9" s="1191">
        <v>1.5</v>
      </c>
      <c r="CU9" s="1191">
        <f ca="1">AVERAGEIF($BW:$BW,$BW9,$AH:$AH)</f>
        <v>145.71428571428572</v>
      </c>
      <c r="CV9" s="228">
        <f ca="1">AVERAGEIFS($AH:$AH,$BW:$BW,$BW9,$BX:$BX,$BX9)</f>
        <v>145.71428571428572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2337.3000000000002</v>
      </c>
      <c r="DH9" s="1218">
        <f ca="1">AVERAGEIFS($AM:$AM,$BW:$BW,$BW9,$BX:$BX,$BX9)</f>
        <v>2337.3000000000002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7.7927926479276923</v>
      </c>
      <c r="ER9" s="1218">
        <f ca="1">AVERAGEIFS($BH:$BH,$BW:$BW,$BW9,$BX:$BX,$BX9)</f>
        <v>7.7927926479276923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101</v>
      </c>
      <c r="G10" s="332">
        <f>IF(ISNUMBER(Datos!I10),Datos!I10," - ")</f>
        <v>101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44</v>
      </c>
      <c r="AC10" s="224">
        <f>IF(ISNUMBER(Datos!Q10),Datos!Q10," - ")</f>
        <v>7</v>
      </c>
      <c r="AD10" s="224"/>
      <c r="AE10" s="224"/>
      <c r="AF10" s="224">
        <f>IF(ISNUMBER(Datos!L10),Datos!L10,"-")</f>
        <v>105</v>
      </c>
      <c r="AG10" s="333"/>
      <c r="AH10" s="224"/>
      <c r="AI10" s="224"/>
      <c r="AJ10" s="1214"/>
      <c r="AK10" s="333"/>
      <c r="AL10" s="478"/>
      <c r="AM10" s="1214">
        <f>IF(ISNUMBER(Datos!R10),Datos!R10," - ")</f>
        <v>103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23</v>
      </c>
      <c r="BE10" s="1214" t="str">
        <f>IF(ISNUMBER(Datos!BW10),Datos!BW10," - ")</f>
        <v xml:space="preserve"> - </v>
      </c>
      <c r="BF10" s="1214" t="str">
        <f>IF(ISNUMBER(Datos!BX10),Datos!BX10," - ")</f>
        <v xml:space="preserve"> - </v>
      </c>
      <c r="BG10" s="242">
        <f>IF(ISNUMBER(Datos!K10/Datos!J10),Datos!K10/Datos!J10," - ")</f>
        <v>0.91666666666666663</v>
      </c>
      <c r="BH10" s="1214">
        <f>IF(ISNUMBER(((Datos!L10/Datos!K10)*11)/factor_trimestre),((Datos!L10/Datos!K10)*11)/factor_trimestre," - ")</f>
        <v>7.1590909090909092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6.1855670103092786E-2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621.29335003264373</v>
      </c>
      <c r="CF10" s="228">
        <f ca="1">AVERAGEIFS($AB:$AB,$BW:$BW,BW10,$BX:$BX,BX10)</f>
        <v>621.29335003264373</v>
      </c>
      <c r="CG10" s="1191">
        <v>0.7</v>
      </c>
      <c r="CH10" s="1191">
        <f ca="1">AVERAGEIF($BW:$BW,BW10,$AC:$AC)</f>
        <v>102</v>
      </c>
      <c r="CI10" s="228">
        <f ca="1">AVERAGEIFS($AC:$AC,$BW:$BW,BW10,$BX:$BX,BX10)</f>
        <v>102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1462.6666666666667</v>
      </c>
      <c r="CR10" s="228">
        <f ca="1">AVERAGEIFS($AF:$AF,$BW:$BW,BW10,$BX:$BX,BX10)</f>
        <v>1462.6666666666667</v>
      </c>
      <c r="CS10" s="1191">
        <v>1.3</v>
      </c>
      <c r="CT10" s="1191">
        <v>1.5</v>
      </c>
      <c r="CU10" s="1191">
        <f ca="1">AVERAGEIF($BW:$BW,$BW10,$AH:$AH)</f>
        <v>145.71428571428572</v>
      </c>
      <c r="CV10" s="228">
        <f ca="1">AVERAGEIFS($AH:$AH,$BW:$BW,$BW10,$BX:$BX,$BX10)</f>
        <v>145.71428571428572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2337.3000000000002</v>
      </c>
      <c r="DH10" s="1218">
        <f ca="1">AVERAGEIFS($AM:$AM,$BW:$BW,$BW10,$BX:$BX,$BX10)</f>
        <v>2337.3000000000002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7.7927926479276923</v>
      </c>
      <c r="ER10" s="1218">
        <f ca="1">AVERAGEIFS($BH:$BH,$BW:$BW,$BW10,$BX:$BX,$BX10)</f>
        <v>7.7927926479276923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621.29335003264373</v>
      </c>
      <c r="CF11" s="228">
        <f ca="1">AVERAGEIFS($AB:$AB,$BW:$BW,BW11,$BX:$BX,BX11)</f>
        <v>621.29335003264373</v>
      </c>
      <c r="CG11" s="1191">
        <v>0.7</v>
      </c>
      <c r="CH11" s="1191">
        <f ca="1">AVERAGEIF($BW:$BW,BW11,$AC:$AC)</f>
        <v>102</v>
      </c>
      <c r="CI11" s="228">
        <f ca="1">AVERAGEIFS($AC:$AC,$BW:$BW,BW11,$BX:$BX,BX11)</f>
        <v>102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1462.6666666666667</v>
      </c>
      <c r="CR11" s="228">
        <f ca="1">AVERAGEIFS($AF:$AF,$BW:$BW,BW11,$BX:$BX,BX11)</f>
        <v>1462.6666666666667</v>
      </c>
      <c r="CS11" s="1191">
        <v>1.3</v>
      </c>
      <c r="CT11" s="1191">
        <v>1.5</v>
      </c>
      <c r="CU11" s="1191">
        <f ca="1">AVERAGEIF($BW:$BW,$BW11,$AH:$AH)</f>
        <v>145.71428571428572</v>
      </c>
      <c r="CV11" s="228">
        <f ca="1">AVERAGEIFS($AH:$AH,$BW:$BW,$BW11,$BX:$BX,$BX11)</f>
        <v>145.71428571428572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2337.3000000000002</v>
      </c>
      <c r="DH11" s="1218">
        <f ca="1">AVERAGEIFS($AM:$AM,$BW:$BW,$BW11,$BX:$BX,$BX11)</f>
        <v>2337.3000000000002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7.7927926479276923</v>
      </c>
      <c r="ER11" s="1218">
        <f ca="1">AVERAGEIFS($BH:$BH,$BW:$BW,$BW11,$BX:$BX,$BX11)</f>
        <v>7.7927926479276923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87</v>
      </c>
      <c r="O12" s="333"/>
      <c r="P12" s="333"/>
      <c r="Q12" s="225">
        <f>IF(ISNUMBER(Datos!P12),Datos!P12,0)</f>
        <v>667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321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340</v>
      </c>
      <c r="AI12" s="224" t="str">
        <f>IF(ISNUMBER(Datos!CD12),Datos!CD12,"-")</f>
        <v>-</v>
      </c>
      <c r="AJ12" s="1214" t="str">
        <f>IF(ISNUMBER(Datos!EN12),Datos!EN12," - ")</f>
        <v xml:space="preserve"> - </v>
      </c>
      <c r="AK12" s="333"/>
      <c r="AL12" s="478"/>
      <c r="AM12" s="1214">
        <f>IF(ISNUMBER(Datos!R12),Datos!R12," - ")</f>
        <v>7513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402</v>
      </c>
      <c r="BD12" s="228">
        <f>IF(ISNUMBER(Datos!N12),Datos!N12," - ")</f>
        <v>828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0.83012512030798846</v>
      </c>
      <c r="BH12" s="1214">
        <f>IF(ISNUMBER(((IF(J_V="SI",Datos!L12/Datos!K12,(Datos!L12+Datos!AB12)/(Datos!K12+Datos!AA12)))*11)/factor_trimestre),((IF(J_V="SI",Datos!L12/Datos!K12,(Datos!L12+Datos!AB12)/(Datos!K12+Datos!AA12)))*11)/factor_trimestre," - ")</f>
        <v>18.763478260869569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4.8276824333751918E-2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621.29335003264373</v>
      </c>
      <c r="CF12" s="228">
        <f ca="1">AVERAGEIFS($AB:$AB,$BW:$BW,BW12,$BX:$BX,BX12)</f>
        <v>621.29335003264373</v>
      </c>
      <c r="CG12" s="1191">
        <v>0.7</v>
      </c>
      <c r="CH12" s="1191">
        <f ca="1">AVERAGEIF($BW:$BW,BW12,$AC:$AC)</f>
        <v>102</v>
      </c>
      <c r="CI12" s="228">
        <f ca="1">AVERAGEIFS($AC:$AC,$BW:$BW,BW12,$BX:$BX,BX12)</f>
        <v>102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1462.6666666666667</v>
      </c>
      <c r="CR12" s="228">
        <f ca="1">AVERAGEIFS($AF:$AF,$BW:$BW,BW12,$BX:$BX,BX12)</f>
        <v>1462.6666666666667</v>
      </c>
      <c r="CS12" s="1191">
        <v>1.3</v>
      </c>
      <c r="CT12" s="1191">
        <v>1.5</v>
      </c>
      <c r="CU12" s="1191">
        <f ca="1">AVERAGEIF($BW:$BW,$BW12,$AH:$AH)</f>
        <v>145.71428571428572</v>
      </c>
      <c r="CV12" s="228">
        <f ca="1">AVERAGEIFS($AH:$AH,$BW:$BW,$BW12,$BX:$BX,$BX12)</f>
        <v>145.71428571428572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2337.3000000000002</v>
      </c>
      <c r="DH12" s="1218">
        <f ca="1">AVERAGEIFS($AM:$AM,$BW:$BW,$BW12,$BX:$BX,$BX12)</f>
        <v>2337.3000000000002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7.7927926479276923</v>
      </c>
      <c r="ER12" s="1218">
        <f ca="1">AVERAGEIFS($BH:$BH,$BW:$BW,$BW12,$BX:$BX,$BX12)</f>
        <v>7.7927926479276923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101</v>
      </c>
      <c r="G13" s="895">
        <f t="shared" si="1"/>
        <v>101</v>
      </c>
      <c r="H13" s="896">
        <f t="shared" si="1"/>
        <v>0</v>
      </c>
      <c r="I13" s="895">
        <f t="shared" si="1"/>
        <v>0</v>
      </c>
      <c r="J13" s="864">
        <f t="shared" si="1"/>
        <v>0</v>
      </c>
      <c r="K13" s="864">
        <f t="shared" si="1"/>
        <v>0</v>
      </c>
      <c r="L13" s="896">
        <f t="shared" si="1"/>
        <v>0</v>
      </c>
      <c r="M13" s="896">
        <f t="shared" si="1"/>
        <v>0</v>
      </c>
      <c r="N13" s="896">
        <f t="shared" si="1"/>
        <v>87</v>
      </c>
      <c r="O13" s="897">
        <f t="shared" si="1"/>
        <v>0</v>
      </c>
      <c r="P13" s="897">
        <f t="shared" si="1"/>
        <v>0</v>
      </c>
      <c r="Q13" s="896">
        <f t="shared" si="1"/>
        <v>680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44</v>
      </c>
      <c r="AC13" s="896">
        <f t="shared" si="2"/>
        <v>328</v>
      </c>
      <c r="AD13" s="896">
        <f t="shared" si="2"/>
        <v>0</v>
      </c>
      <c r="AE13" s="896">
        <f t="shared" si="2"/>
        <v>0</v>
      </c>
      <c r="AF13" s="896">
        <f t="shared" si="2"/>
        <v>105</v>
      </c>
      <c r="AG13" s="896">
        <f t="shared" si="2"/>
        <v>0</v>
      </c>
      <c r="AH13" s="896">
        <f t="shared" si="2"/>
        <v>340</v>
      </c>
      <c r="AI13" s="896">
        <f t="shared" si="2"/>
        <v>0</v>
      </c>
      <c r="AJ13" s="896">
        <f t="shared" si="2"/>
        <v>0</v>
      </c>
      <c r="AK13" s="896">
        <f t="shared" si="2"/>
        <v>0</v>
      </c>
      <c r="AL13" s="896">
        <f t="shared" si="2"/>
        <v>0</v>
      </c>
      <c r="AM13" s="896">
        <f t="shared" si="2"/>
        <v>7616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406</v>
      </c>
      <c r="BD13" s="896">
        <f t="shared" si="2"/>
        <v>851</v>
      </c>
      <c r="BE13" s="896">
        <f t="shared" si="2"/>
        <v>0</v>
      </c>
      <c r="BF13" s="896">
        <f t="shared" si="2"/>
        <v>0</v>
      </c>
      <c r="BG13" s="896">
        <f>IF(ISNUMBER(Datos!K13/Datos!J13),Datos!K13/Datos!J13," - ")</f>
        <v>0.82393330063756742</v>
      </c>
      <c r="BH13" s="900">
        <f>IF(ISNUMBER(((Datos!L13/Datos!K13)*11)/factor_trimestre),((Datos!L13/Datos!K13)*11)/factor_trimestre," - ")</f>
        <v>18.846428571428572</v>
      </c>
      <c r="BI13" s="896">
        <f>IF(ISNUMBER('Resol  Asuntos'!D13/NºAsuntos!G13),'Resol  Asuntos'!D13/NºAsuntos!G13," - ")</f>
        <v>0.22950819672131148</v>
      </c>
      <c r="BJ13" s="896" t="str">
        <f>IF(ISNUMBER(Datos!CI13/Datos!CJ13),Datos!CI13/Datos!CJ13," - ")</f>
        <v xml:space="preserve"> - </v>
      </c>
      <c r="BK13" s="896">
        <f>SUBTOTAL(9,BK8:BK12)</f>
        <v>0</v>
      </c>
      <c r="BL13" s="896">
        <f>IF(ISNUMBER((I13-AB13+L13)/(F13)),(I13-AB13+L13)/(F13)," - ")</f>
        <v>-0.43564356435643564</v>
      </c>
      <c r="BM13" s="901">
        <f>SUBTOTAL(9,BM9:BM12)</f>
        <v>0.1101324944368447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621.29335003264373</v>
      </c>
      <c r="CF15" s="228">
        <f ca="1">AVERAGEIFS($AB:$AB,$BW:$BW,BW15,$BX:$BX,BX15)</f>
        <v>621.29335003264373</v>
      </c>
      <c r="CG15" s="1191">
        <v>0.7</v>
      </c>
      <c r="CH15" s="1191">
        <f ca="1">AVERAGEIF($BW:$BW,BW15,$AC:$AC)</f>
        <v>102</v>
      </c>
      <c r="CI15" s="228">
        <f ca="1">AVERAGEIFS($AC:$AC,$BW:$BW,BW15,$BX:$BX,BX15)</f>
        <v>102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1462.6666666666667</v>
      </c>
      <c r="CR15" s="228">
        <f ca="1">AVERAGEIFS($AF:$AF,$BW:$BW,BW15,$BX:$BX,BX15)</f>
        <v>1462.6666666666667</v>
      </c>
      <c r="CS15" s="1191">
        <v>1.3</v>
      </c>
      <c r="CT15" s="1191">
        <v>1.5</v>
      </c>
      <c r="CU15" s="1191">
        <f ca="1">AVERAGEIF($BW:$BW,$BW15,$AH:$AH)</f>
        <v>145.71428571428572</v>
      </c>
      <c r="CV15" s="228">
        <f ca="1">AVERAGEIFS($AH:$AH,$BW:$BW,$BW15,$BX:$BX,$BX15)</f>
        <v>145.71428571428572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2337.3000000000002</v>
      </c>
      <c r="DH15" s="1218">
        <f ca="1">AVERAGEIFS($AM:$AM,$BW:$BW,$BW15,$BX:$BX,$BX15)</f>
        <v>2337.3000000000002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7.7927926479276923</v>
      </c>
      <c r="ER15" s="1218">
        <f ca="1">AVERAGEIFS($BH:$BH,$BW:$BW,$BW15,$BX:$BX,$BX15)</f>
        <v>7.7927926479276923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621.29335003264373</v>
      </c>
      <c r="CF16" s="1218">
        <f ca="1">AVERAGEIFS($AB:$AB,$BW:$BW,BW16,$BX:$BX,BX16)</f>
        <v>621.29335003264373</v>
      </c>
      <c r="CG16" s="1191">
        <v>0.7</v>
      </c>
      <c r="CH16" s="1191">
        <f ca="1">AVERAGEIF($BW:$BW,BW16,$AC:$AC)</f>
        <v>102</v>
      </c>
      <c r="CI16" s="1218">
        <f ca="1">AVERAGEIFS($AC:$AC,$BW:$BW,BW16,$BX:$BX,BX16)</f>
        <v>102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1462.6666666666667</v>
      </c>
      <c r="CR16" s="1218">
        <f ca="1">AVERAGEIFS($AF:$AF,$BW:$BW,BW16,$BX:$BX,BX16)</f>
        <v>1462.6666666666667</v>
      </c>
      <c r="CS16" s="1191">
        <v>1.3</v>
      </c>
      <c r="CT16" s="1191">
        <v>1.5</v>
      </c>
      <c r="CU16" s="1191">
        <f ca="1">AVERAGEIF($BW:$BW,$BW16,$AH:$AH)</f>
        <v>145.71428571428572</v>
      </c>
      <c r="CV16" s="1218">
        <f ca="1">AVERAGEIFS($AH:$AH,$BW:$BW,$BW16,$BX:$BX,$BX16)</f>
        <v>145.71428571428572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2337.3000000000002</v>
      </c>
      <c r="DH16" s="1218">
        <f ca="1">AVERAGEIFS($AM:$AM,$BW:$BW,$BW16,$BX:$BX,$BX16)</f>
        <v>2337.3000000000002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7.7927926479276923</v>
      </c>
      <c r="ER16" s="1218">
        <f ca="1">AVERAGEIFS($BH:$BH,$BW:$BW,$BW16,$BX:$BX,$BX16)</f>
        <v>7.7927926479276923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3891</v>
      </c>
      <c r="G17" s="596">
        <f>IF(ISNUMBER(IF(D_I="SI",Datos!I17,Datos!I17+Datos!AC17)),IF(D_I="SI",Datos!I17,Datos!I17+Datos!AC17)," - ")</f>
        <v>3879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1625</v>
      </c>
      <c r="AC17" s="224">
        <f>IF(ISNUMBER(Datos!Q17),Datos!Q17," - ")</f>
        <v>12</v>
      </c>
      <c r="AD17" s="224"/>
      <c r="AE17" s="224"/>
      <c r="AF17" s="224">
        <f>IF(ISNUMBER(IF(D_I="SI",Datos!L17,Datos!L17+Datos!AF17)),IF(D_I="SI",Datos!L17,Datos!L17+Datos!AF17)," - ")</f>
        <v>4030</v>
      </c>
      <c r="AG17" s="333"/>
      <c r="AH17" s="224"/>
      <c r="AI17" s="224"/>
      <c r="AJ17" s="1214"/>
      <c r="AK17" s="333"/>
      <c r="AL17" s="478"/>
      <c r="AM17" s="1214">
        <f>IF(ISNUMBER(Datos!R17),Datos!R17," - ")</f>
        <v>160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160</v>
      </c>
      <c r="BD17" s="228">
        <f>IF(ISNUMBER(Datos!N17),Datos!N17," - ")</f>
        <v>1226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0.92120181405895696</v>
      </c>
      <c r="BH17" s="1214">
        <f>IF(ISNUMBER(((IF(D_I="SI",Datos!L17/Datos!K17,(Datos!L17+Datos!AF17)/(Datos!K17+Datos!AE17)))*11)/factor_trimestre),((IF(D_I="SI",Datos!L17/Datos!K17,(Datos!L17+Datos!AF17)/(Datos!K17+Datos!AE17)))*11)/factor_trimestre," - ")</f>
        <v>7.44</v>
      </c>
      <c r="BI17" s="242">
        <f>IF(ISNUMBER('Resol  Asuntos'!D17/NºAsuntos!G17),'Resol  Asuntos'!D17/NºAsuntos!G17," - ")</f>
        <v>9.8461538461538461E-2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621.29335003264373</v>
      </c>
      <c r="CF17" s="228">
        <f ca="1">AVERAGEIFS($AB:$AB,$BW:$BW,BW17,$BX:$BX,BX17)</f>
        <v>621.29335003264373</v>
      </c>
      <c r="CG17" s="1191">
        <v>0.7</v>
      </c>
      <c r="CH17" s="1191">
        <f ca="1">AVERAGEIF($BW:$BW,BW17,$AC:$AC)</f>
        <v>102</v>
      </c>
      <c r="CI17" s="228">
        <f ca="1">AVERAGEIFS($AC:$AC,$BW:$BW,BW17,$BX:$BX,BX17)</f>
        <v>102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1462.6666666666667</v>
      </c>
      <c r="CR17" s="228">
        <f ca="1">AVERAGEIFS($AF:$AF,$BW:$BW,BW17,$BX:$BX,BX17)</f>
        <v>1462.6666666666667</v>
      </c>
      <c r="CS17" s="1191">
        <v>1.3</v>
      </c>
      <c r="CT17" s="1191">
        <v>1.5</v>
      </c>
      <c r="CU17" s="1191">
        <f ca="1">AVERAGEIF($BW:$BW,$BW17,$AH:$AH)</f>
        <v>145.71428571428572</v>
      </c>
      <c r="CV17" s="228">
        <f ca="1">AVERAGEIFS($AH:$AH,$BW:$BW,$BW17,$BX:$BX,$BX17)</f>
        <v>145.71428571428572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2337.3000000000002</v>
      </c>
      <c r="DH17" s="1218">
        <f ca="1">AVERAGEIFS($AM:$AM,$BW:$BW,$BW17,$BX:$BX,$BX17)</f>
        <v>2337.3000000000002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7.7927926479276923</v>
      </c>
      <c r="ER17" s="1218">
        <f ca="1">AVERAGEIFS($BH:$BH,$BW:$BW,$BW17,$BX:$BX,$BX17)</f>
        <v>7.7927926479276923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202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107</v>
      </c>
      <c r="AC18" s="224">
        <f>IF(ISNUMBER(Datos!Q18),Datos!Q18," - ")</f>
        <v>0</v>
      </c>
      <c r="AD18" s="224"/>
      <c r="AE18" s="224"/>
      <c r="AF18" s="224">
        <f>IF(ISNUMBER(Datos!L18),Datos!L18,"-")</f>
        <v>253</v>
      </c>
      <c r="AG18" s="333"/>
      <c r="AH18" s="224"/>
      <c r="AI18" s="224"/>
      <c r="AJ18" s="1214"/>
      <c r="AK18" s="333"/>
      <c r="AL18" s="478"/>
      <c r="AM18" s="1214">
        <f>IF(ISNUMBER(Datos!R18),Datos!R18," - ")</f>
        <v>15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20</v>
      </c>
      <c r="BD18" s="228">
        <f>IF(ISNUMBER(Datos!N18),Datos!N18," - ")</f>
        <v>56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0.6858974358974359</v>
      </c>
      <c r="BH18" s="1214">
        <f>IF(ISNUMBER(((IF(D_I="SI",Datos!L18/Datos!K18,(Datos!L18+Datos!AF18)/(Datos!K18+Datos!AE18)))*11)/factor_trimestre),((IF(D_I="SI",Datos!L18/Datos!K18,(Datos!L18+Datos!AF18)/(Datos!K18+Datos!AE18)))*11)/factor_trimestre," - ")</f>
        <v>7.0934579439252339</v>
      </c>
      <c r="BI18" s="242">
        <f>IF(ISNUMBER('Resol  Asuntos'!D18/NºAsuntos!G18),'Resol  Asuntos'!D18/NºAsuntos!G18," - ")</f>
        <v>0.18691588785046728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621.29335003264373</v>
      </c>
      <c r="CF18" s="228">
        <f ca="1">AVERAGEIFS($AB:$AB,$BW:$BW,BW18,$BX:$BX,BX18)</f>
        <v>621.29335003264373</v>
      </c>
      <c r="CG18" s="1191">
        <v>0.7</v>
      </c>
      <c r="CH18" s="1191">
        <f ca="1">AVERAGEIF($BW:$BW,BW18,$AC:$AC)</f>
        <v>102</v>
      </c>
      <c r="CI18" s="228">
        <f ca="1">AVERAGEIFS($AC:$AC,$BW:$BW,BW18,$BX:$BX,BX18)</f>
        <v>102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1462.6666666666667</v>
      </c>
      <c r="CR18" s="228">
        <f ca="1">AVERAGEIFS($AF:$AF,$BW:$BW,BW18,$BX:$BX,BX18)</f>
        <v>1462.6666666666667</v>
      </c>
      <c r="CS18" s="1191">
        <v>1.3</v>
      </c>
      <c r="CT18" s="1191">
        <v>1.5</v>
      </c>
      <c r="CU18" s="1191">
        <f ca="1">AVERAGEIF($BW:$BW,$BW18,$AH:$AH)</f>
        <v>145.71428571428572</v>
      </c>
      <c r="CV18" s="228">
        <f ca="1">AVERAGEIFS($AH:$AH,$BW:$BW,$BW18,$BX:$BX,$BX18)</f>
        <v>145.71428571428572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2337.3000000000002</v>
      </c>
      <c r="DH18" s="1218">
        <f ca="1">AVERAGEIFS($AM:$AM,$BW:$BW,$BW18,$BX:$BX,$BX18)</f>
        <v>2337.3000000000002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7.7927926479276923</v>
      </c>
      <c r="ER18" s="1218">
        <f ca="1">AVERAGEIFS($BH:$BH,$BW:$BW,$BW18,$BX:$BX,$BX18)</f>
        <v>7.7927926479276923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3891</v>
      </c>
      <c r="G19" s="895">
        <f>SUBTOTAL(9,G15:G18)</f>
        <v>4081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1732</v>
      </c>
      <c r="AC19" s="896">
        <f t="shared" si="5"/>
        <v>12</v>
      </c>
      <c r="AD19" s="896">
        <f t="shared" si="5"/>
        <v>0</v>
      </c>
      <c r="AE19" s="896">
        <f t="shared" si="5"/>
        <v>0</v>
      </c>
      <c r="AF19" s="896">
        <f t="shared" si="5"/>
        <v>4283</v>
      </c>
      <c r="AG19" s="896">
        <f t="shared" si="5"/>
        <v>0</v>
      </c>
      <c r="AH19" s="896">
        <f t="shared" si="5"/>
        <v>0</v>
      </c>
      <c r="AI19" s="896">
        <f t="shared" si="5"/>
        <v>0</v>
      </c>
      <c r="AJ19" s="896">
        <f t="shared" si="5"/>
        <v>0</v>
      </c>
      <c r="AK19" s="896">
        <f t="shared" si="5"/>
        <v>0</v>
      </c>
      <c r="AL19" s="896">
        <f t="shared" si="5"/>
        <v>0</v>
      </c>
      <c r="AM19" s="896">
        <f t="shared" si="5"/>
        <v>175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180</v>
      </c>
      <c r="BD19" s="896">
        <f t="shared" si="5"/>
        <v>1282</v>
      </c>
      <c r="BE19" s="896">
        <f t="shared" si="5"/>
        <v>0</v>
      </c>
      <c r="BF19" s="896">
        <f t="shared" si="5"/>
        <v>0</v>
      </c>
      <c r="BG19" s="896">
        <f>IF(ISNUMBER(Datos!K19/Datos!J19),Datos!K19/Datos!J19," - ")</f>
        <v>0.90208333333333335</v>
      </c>
      <c r="BH19" s="900">
        <f>IF(ISNUMBER(((Datos!L19/Datos!K19)*11)/factor_trimestre),((Datos!L19/Datos!K19)*11)/factor_trimestre," - ")</f>
        <v>7.418591224018475</v>
      </c>
      <c r="BI19" s="896">
        <f>SUBTOTAL(9,BI15:BI18)</f>
        <v>0.28537742631200574</v>
      </c>
      <c r="BJ19" s="896">
        <f>SUBTOTAL(9,BJ15:BJ18)</f>
        <v>0</v>
      </c>
      <c r="BK19" s="896">
        <f>SUBTOTAL(9,BK15:BK18)</f>
        <v>0</v>
      </c>
      <c r="BL19" s="896">
        <f>IF(ISNUMBER((I19-AB19+L19)/(F19)),(I19-AB19+L19)/(F19)," - ")</f>
        <v>-0.44512978668722691</v>
      </c>
      <c r="BM19" s="902">
        <f>IF(ISNUMBER((Datos!P19-Datos!Q19)/(Datos!R19-Datos!P19+Datos!Q19)),(Datos!P19-Datos!Q19)/(Datos!R19-Datos!P19+Datos!Q19)," - ")</f>
        <v>-1.6853932584269662E-2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3992</v>
      </c>
      <c r="G20" s="817">
        <f t="shared" si="7"/>
        <v>4182</v>
      </c>
      <c r="H20" s="819">
        <f t="shared" si="7"/>
        <v>0</v>
      </c>
      <c r="I20" s="817">
        <f t="shared" si="7"/>
        <v>0</v>
      </c>
      <c r="J20" s="819">
        <f t="shared" si="7"/>
        <v>0</v>
      </c>
      <c r="K20" s="819">
        <f t="shared" si="7"/>
        <v>0</v>
      </c>
      <c r="L20" s="878">
        <f t="shared" si="7"/>
        <v>0</v>
      </c>
      <c r="M20" s="878">
        <f t="shared" si="7"/>
        <v>0</v>
      </c>
      <c r="N20" s="878">
        <f t="shared" si="7"/>
        <v>87</v>
      </c>
      <c r="O20" s="878">
        <f t="shared" si="7"/>
        <v>0</v>
      </c>
      <c r="P20" s="878">
        <f t="shared" si="7"/>
        <v>0</v>
      </c>
      <c r="Q20" s="819">
        <f t="shared" si="7"/>
        <v>689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1776</v>
      </c>
      <c r="AC20" s="818">
        <f t="shared" si="8"/>
        <v>340</v>
      </c>
      <c r="AD20" s="818">
        <f t="shared" si="8"/>
        <v>0</v>
      </c>
      <c r="AE20" s="818">
        <f t="shared" si="8"/>
        <v>0</v>
      </c>
      <c r="AF20" s="825">
        <f t="shared" si="8"/>
        <v>4388</v>
      </c>
      <c r="AG20" s="825">
        <f t="shared" si="8"/>
        <v>0</v>
      </c>
      <c r="AH20" s="825">
        <f t="shared" si="8"/>
        <v>340</v>
      </c>
      <c r="AI20" s="825">
        <f t="shared" si="8"/>
        <v>0</v>
      </c>
      <c r="AJ20" s="818">
        <f t="shared" si="8"/>
        <v>0</v>
      </c>
      <c r="AK20" s="825">
        <f t="shared" si="8"/>
        <v>0</v>
      </c>
      <c r="AL20" s="825">
        <f t="shared" si="8"/>
        <v>0</v>
      </c>
      <c r="AM20" s="825">
        <f t="shared" si="8"/>
        <v>7791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586</v>
      </c>
      <c r="BD20" s="817">
        <f t="shared" si="8"/>
        <v>2133</v>
      </c>
      <c r="BE20" s="817">
        <f t="shared" si="8"/>
        <v>0</v>
      </c>
      <c r="BF20" s="827">
        <f t="shared" si="8"/>
        <v>0</v>
      </c>
      <c r="BG20" s="912">
        <f>IF(ISNUMBER(Datos!K20/Datos!J20),Datos!K20/Datos!J20," - ")</f>
        <v>0.86183379641323565</v>
      </c>
      <c r="BH20" s="912">
        <f>IF(ISNUMBER(((Datos!L20/Datos!K20)*11)/factor_trimestre),((Datos!L20/Datos!K20)*11)/factor_trimestre," - ")</f>
        <v>13.045427901524034</v>
      </c>
      <c r="BI20" s="810">
        <f>IF(ISNUMBER(Datos!J20/Datos!I20),Datos!J20/Datos!I20," - ")</f>
        <v>0.27704688593421972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-0.44488977955911824</v>
      </c>
      <c r="BM20" s="886">
        <f>IF(ISNUMBER((Datos!P20-Datos!Q20+R20)/(Datos!R20-Datos!P20+Datos!Q20-R20)),(Datos!P20-Datos!Q20+R20)/(Datos!R20-Datos!P20+Datos!Q20-R20)," - ")</f>
        <v>4.6895995700080621E-2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1672.8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3.7357135269658399</v>
      </c>
      <c r="F22" s="550">
        <f>IF(ISNUMBER(STDEV(F8:F19)),STDEV(F8:F19),"-")</f>
        <v>2188.1575202286817</v>
      </c>
      <c r="G22" s="551">
        <f>IF(ISNUMBER(STDEV(G8:G19)),STDEV(G8:G19),"-")</f>
        <v>2107.7896479487699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884.93350032643696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176.59294059125543</v>
      </c>
      <c r="BD22" s="550"/>
      <c r="BE22" s="550">
        <f>IF(ISNUMBER(STDEV(BE8:BE19)),STDEV(BE8:BE19),"-")</f>
        <v>0</v>
      </c>
      <c r="BF22" s="555">
        <f>IF(ISNUMBER(STDEV(BF8:BF19)),STDEV(BF8:BF19),"-")</f>
        <v>0</v>
      </c>
      <c r="BG22" s="772">
        <f>IF(ISNUMBER(STDEV(BG8:BG19)),STDEV(BG8:BG19),"-")</f>
        <v>8.9625518653492095E-2</v>
      </c>
      <c r="BH22" s="773">
        <f>IF(ISNUMBER(STDEV(BH8:BH19)),STDEV(BH8:BH19),"-")</f>
        <v>5.9542443163478218</v>
      </c>
      <c r="BI22" s="248">
        <f>IF(ISNUMBER(STDEV(BI8:BI19)),STDEV(BI8:BI19),"-")</f>
        <v>7.8827394690351299E-2</v>
      </c>
      <c r="BJ22" s="1415" t="str">
        <f>IF(ISNUMBER(BL22/BM22),BL22/BM22," - ")</f>
        <v xml:space="preserve"> - </v>
      </c>
      <c r="BK22" s="574"/>
      <c r="BL22" s="558">
        <f>IF(ISNUMBER(STDEV(BL8:BL19)),STDEV(BL8:BL19),"-")</f>
        <v>6.7077721379457649E-3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O6sLWLUjPX28afhcc6bjPVHz48e0lURp/NGjkXzGchXZ8G6uttZLS0Y58YySQGhp0R4wKKHEQjqmBsuCvslUw==" saltValue="hAPcORA6BfrhEOz80jBod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SANT FELIU DE LLOBREGAT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0.22950819672131148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0.16228680223953551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f9nJ89fv6nucVpfwgd7b33TrRu/HJRroiDUp94MKhWxD2PrWNZ8hpqYbjXmPiTbqNIdpXqelxseKO9hJQgGWw==" saltValue="OtdFjmfiJSqzu5LJREXw2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SANT FELIU DE LLOBREGAT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4k/wHLwhNZl+vLvIFkmBefifiwd0PKdWcC9j/qmqHfKUXBaUNuVerbvYgoIUuxUqRSZ6ZGG2YMrUzMeC7EAPew==" saltValue="Te+GxWNivooLXA0Y9Gq3o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SANT FELIU DE LLOBREGAT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OK+FyAisIwwYXlgI93YdaMiyiAS/047j92OLNhzS5nu7xQbBtkUet6F21H3Iq6HCZzPeWssROTjWgOe35bdpg==" saltValue="Pw82F0PdK0F9Omf9QCGqx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 FELIU DE LLOBREGAT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4</v>
      </c>
      <c r="E10" s="403">
        <f>IF(ISNUMBER(D10/B10),D10/B10," - ")</f>
        <v>4</v>
      </c>
      <c r="F10" s="402">
        <f>IF(ISNUMBER(Datos!N10),Datos!N10," - ")</f>
        <v>23</v>
      </c>
      <c r="G10" s="403">
        <f>IF(ISNUMBER(F10/B10),F10/B10," - ")</f>
        <v>23</v>
      </c>
      <c r="H10" s="402">
        <f>IF(ISNUMBER(Datos!O10),Datos!O10," - ")</f>
        <v>13</v>
      </c>
      <c r="I10" s="403">
        <f t="shared" ref="I10:I12" si="2">IF(ISNUMBER(H10/B10),H10/B10," - ")</f>
        <v>13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402</v>
      </c>
      <c r="E12" s="403">
        <f t="shared" si="0"/>
        <v>57.428571428571431</v>
      </c>
      <c r="F12" s="402">
        <f>IF(ISNUMBER(Datos!N12),Datos!N12," - ")</f>
        <v>828</v>
      </c>
      <c r="G12" s="403">
        <f t="shared" si="1"/>
        <v>118.28571428571429</v>
      </c>
      <c r="H12" s="402">
        <f>IF(ISNUMBER(Datos!O12),Datos!O12," - ")</f>
        <v>714</v>
      </c>
      <c r="I12" s="403">
        <f t="shared" si="2"/>
        <v>102</v>
      </c>
      <c r="BZ12" s="1181">
        <f>Datos!EZ12</f>
        <v>0</v>
      </c>
    </row>
    <row r="13" spans="1:78" ht="14.25" thickTop="1" thickBot="1">
      <c r="A13" s="845" t="str">
        <f>Datos!A13</f>
        <v>TOTAL</v>
      </c>
      <c r="B13" s="846">
        <f>Datos!AP13</f>
        <v>8</v>
      </c>
      <c r="C13" s="848">
        <f>Datos!AR13</f>
        <v>8</v>
      </c>
      <c r="D13" s="846">
        <f>SUBTOTAL(9,D9:D12)</f>
        <v>406</v>
      </c>
      <c r="E13" s="847">
        <f t="shared" si="0"/>
        <v>50.75</v>
      </c>
      <c r="F13" s="846">
        <f>SUBTOTAL(9,F9:F12)</f>
        <v>851</v>
      </c>
      <c r="G13" s="847">
        <f t="shared" si="1"/>
        <v>106.375</v>
      </c>
      <c r="H13" s="846">
        <f>SUBTOTAL(9,H9:H12)</f>
        <v>727</v>
      </c>
      <c r="I13" s="847">
        <f>IF(ISNUMBER(H13/B13),H13/B13," - ")</f>
        <v>90.875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160</v>
      </c>
      <c r="E17" s="403">
        <f t="shared" si="3"/>
        <v>22.857142857142858</v>
      </c>
      <c r="F17" s="402">
        <f>IF(ISNUMBER(Datos!N17),Datos!N17," - ")</f>
        <v>1226</v>
      </c>
      <c r="G17" s="403">
        <f t="shared" si="4"/>
        <v>175.14285714285714</v>
      </c>
      <c r="H17" s="402">
        <f>IF(ISNUMBER(Datos!O17),Datos!O17," - ")</f>
        <v>2</v>
      </c>
      <c r="I17" s="403">
        <f t="shared" si="5"/>
        <v>0.2857142857142857</v>
      </c>
      <c r="BZ17" s="1181">
        <f>Datos!EZ17</f>
        <v>0</v>
      </c>
    </row>
    <row r="18" spans="1:78" ht="13.5" thickBot="1">
      <c r="A18" s="401" t="str">
        <f>Datos!A18</f>
        <v>Sección De Violencia sobre la Mujer del TI</v>
      </c>
      <c r="B18" s="426">
        <f>Datos!AO18</f>
        <v>1</v>
      </c>
      <c r="C18" s="427">
        <f>Datos!AQ18</f>
        <v>1</v>
      </c>
      <c r="D18" s="402">
        <f>IF(ISNUMBER(Datos!M18),Datos!M18," - ")</f>
        <v>20</v>
      </c>
      <c r="E18" s="403">
        <f>IF(ISNUMBER(D18/B18),D18/B18," - ")</f>
        <v>20</v>
      </c>
      <c r="F18" s="402">
        <f>IF(ISNUMBER(Datos!N18),Datos!N18," - ")</f>
        <v>56</v>
      </c>
      <c r="G18" s="403">
        <f>IF(ISNUMBER(F18/B18),F18/B18," - ")</f>
        <v>56</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180</v>
      </c>
      <c r="E19" s="847">
        <f t="shared" si="3"/>
        <v>22.5</v>
      </c>
      <c r="F19" s="846">
        <f>SUBTOTAL(9,F15:F18)</f>
        <v>1282</v>
      </c>
      <c r="G19" s="847">
        <f t="shared" si="4"/>
        <v>160.25</v>
      </c>
      <c r="H19" s="846">
        <f>SUBTOTAL(9,H15:H18)</f>
        <v>2</v>
      </c>
      <c r="I19" s="847">
        <f>IF(ISNUMBER(H19/B19),H19/B19," - ")</f>
        <v>0.25</v>
      </c>
      <c r="BZ19" s="1181"/>
    </row>
    <row r="20" spans="1:78" ht="14.25" thickTop="1" thickBot="1">
      <c r="A20" s="790" t="str">
        <f>Datos!A20</f>
        <v>TOTAL JURISDICCIONES</v>
      </c>
      <c r="B20" s="791">
        <f>Datos!AP20</f>
        <v>8</v>
      </c>
      <c r="C20" s="791">
        <f>Datos!AR20</f>
        <v>8</v>
      </c>
      <c r="D20" s="791">
        <f>SUBTOTAL(9,D8:D19)</f>
        <v>586</v>
      </c>
      <c r="E20" s="792">
        <f>IF(ISNUMBER(D20/B20),D20/B20," - ")</f>
        <v>73.25</v>
      </c>
      <c r="F20" s="791">
        <f>SUBTOTAL(9,F8:F19)</f>
        <v>2133</v>
      </c>
      <c r="G20" s="792">
        <f>IF(ISNUMBER(F20/B20),F20/B20," - ")</f>
        <v>266.625</v>
      </c>
      <c r="H20" s="791">
        <f>SUBTOTAL(9,H8:H19)</f>
        <v>729</v>
      </c>
      <c r="I20" s="792">
        <f>IF(ISNUMBER(H20/B20),H20/B20," - ")</f>
        <v>91.125</v>
      </c>
    </row>
    <row r="23" spans="1:78">
      <c r="A23" s="390" t="str">
        <f>Criterios!A4</f>
        <v>Fecha Informe: 18 jun. 2026</v>
      </c>
    </row>
    <row r="28" spans="1:78">
      <c r="A28" s="413"/>
    </row>
  </sheetData>
  <sheetProtection algorithmName="SHA-512" hashValue="i33wYiPm8vx0X59LK9l+RHc/1jknDogqhTn7Y3XIRNrpK0z2qSe4FzHNhAoQeo/8FxPRbduhVp5Z/Y5ciyacfg==" saltValue="Jop2TXL8CEYIkzExm46W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 FELIU DE LLOBREGAT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13</v>
      </c>
      <c r="C10" s="433">
        <f>IF(ISNUMBER(Datos!Q10),Datos!Q10," - ")</f>
        <v>7</v>
      </c>
      <c r="D10" s="407">
        <f>IF(ISNUMBER(Datos!R10),Datos!R10," - ")</f>
        <v>103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667</v>
      </c>
      <c r="C12" s="433">
        <f>IF(ISNUMBER(Datos!Q12),Datos!Q12," - ")</f>
        <v>321</v>
      </c>
      <c r="D12" s="407">
        <f>IF(ISNUMBER(Datos!R12),Datos!R12," - ")</f>
        <v>7513</v>
      </c>
    </row>
    <row r="13" spans="1:4" ht="14.25" thickTop="1" thickBot="1">
      <c r="A13" s="845" t="str">
        <f>Datos!A13</f>
        <v>TOTAL</v>
      </c>
      <c r="B13" s="846">
        <f>SUBTOTAL(9,B9:B12)</f>
        <v>680</v>
      </c>
      <c r="C13" s="850">
        <f>SUBTOTAL(9,C9:C12)</f>
        <v>328</v>
      </c>
      <c r="D13" s="848">
        <f>SUBTOTAL(9,D9:D12)</f>
        <v>7616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12</v>
      </c>
      <c r="D17" s="407">
        <f>IF(ISNUMBER(Datos!R17),Datos!R17," - ")</f>
        <v>160</v>
      </c>
    </row>
    <row r="18" spans="1:4" ht="13.5" thickBot="1">
      <c r="A18" s="401" t="str">
        <f>Datos!A18</f>
        <v>Sección De Violencia sobre la Mujer del TI</v>
      </c>
      <c r="B18" s="432">
        <f>IF(ISNUMBER(Datos!P18),Datos!P18," - ")</f>
        <v>0</v>
      </c>
      <c r="C18" s="433">
        <f>IF(ISNUMBER(Datos!Q18),Datos!Q18," - ")</f>
        <v>0</v>
      </c>
      <c r="D18" s="407">
        <f>IF(ISNUMBER(Datos!R18),Datos!R18," - ")</f>
        <v>15</v>
      </c>
    </row>
    <row r="19" spans="1:4" ht="14.25" thickTop="1" thickBot="1">
      <c r="A19" s="845" t="str">
        <f>Datos!A19</f>
        <v>TOTAL</v>
      </c>
      <c r="B19" s="846">
        <f>SUBTOTAL(9,B15:B18)</f>
        <v>9</v>
      </c>
      <c r="C19" s="850">
        <f>SUBTOTAL(9,C15:C18)</f>
        <v>12</v>
      </c>
      <c r="D19" s="848">
        <f>SUBTOTAL(9,D15:D18)</f>
        <v>175</v>
      </c>
    </row>
    <row r="20" spans="1:4" ht="16.5" customHeight="1" thickTop="1" thickBot="1">
      <c r="A20" s="790" t="str">
        <f>Datos!A20</f>
        <v>TOTAL JURISDICCIONES</v>
      </c>
      <c r="B20" s="795">
        <f>SUBTOTAL(9,B8:B19)</f>
        <v>689</v>
      </c>
      <c r="C20" s="796">
        <f>SUBTOTAL(9,C8:C19)</f>
        <v>340</v>
      </c>
      <c r="D20" s="797">
        <f>SUBTOTAL(9,D8:D19)</f>
        <v>7791</v>
      </c>
    </row>
    <row r="21" spans="1:4" ht="7.5" customHeight="1"/>
    <row r="22" spans="1:4" ht="6" customHeight="1"/>
    <row r="23" spans="1:4">
      <c r="A23" s="390" t="str">
        <f>Criterios!A4</f>
        <v>Fecha Informe: 18 jun. 2026</v>
      </c>
    </row>
    <row r="28" spans="1:4">
      <c r="A28" s="413"/>
    </row>
  </sheetData>
  <sheetProtection algorithmName="SHA-512" hashValue="F079MkquVjUtwtsp/2UiVF5W7MI1yDyYJ5cwf31pWNkqIXE5KdZncapSsm7ZifgpPBHY/PJ7tiCS64voyuKeYA==" saltValue="yc/74XNY47GEHRx//2RW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 FELIU DE LLOBREGAT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0.31168831168831168</v>
      </c>
      <c r="C10" s="455">
        <f>IF(ISNUMBER((Datos!J10-Datos!T10)/Datos!T10),(Datos!J10-Datos!T10)/Datos!T10," - ")</f>
        <v>0.11627906976744186</v>
      </c>
      <c r="D10" s="455">
        <f>IF(ISNUMBER((Datos!K10-Datos!U10)/Datos!U10),(Datos!K10-Datos!U10)/Datos!U10," - ")</f>
        <v>0.15789473684210525</v>
      </c>
      <c r="E10" s="455">
        <f>IF(ISNUMBER((Datos!L10-Datos!V10)/Datos!V10),(Datos!L10-Datos!V10)/Datos!V10," - ")</f>
        <v>0.28048780487804881</v>
      </c>
      <c r="F10" s="455">
        <f>IF(ISNUMBER((Datos!M10-Datos!W10)/Datos!W10),(Datos!M10-Datos!W10)/Datos!W10," - ")</f>
        <v>-0.75</v>
      </c>
      <c r="G10" s="456">
        <f>IF(ISNUMBER((Datos!N10-Datos!X10)/Datos!X10),(Datos!N10-Datos!X10)/Datos!X10," - ")</f>
        <v>0.4375</v>
      </c>
      <c r="H10" s="454">
        <f>IF(ISNUMBER(((NºAsuntos!G10/NºAsuntos!E10)-Datos!BD10)/Datos!BD10),((NºAsuntos!G10/NºAsuntos!E10)-Datos!BD10)/Datos!BD10," - ")</f>
        <v>3.7280701754385907E-2</v>
      </c>
      <c r="I10" s="455">
        <f>IF(ISNUMBER(((NºAsuntos!I10/NºAsuntos!G10)-Datos!BE10)/Datos!BE10),((NºAsuntos!I10/NºAsuntos!G10)-Datos!BE10)/Datos!BE10," - ")</f>
        <v>0.1058758314855875</v>
      </c>
      <c r="J10" s="460">
        <f>IF(ISNUMBER((('Resol  Asuntos'!D10/NºAsuntos!G10)-Datos!BF10)/Datos!BF10),(('Resol  Asuntos'!D10/NºAsuntos!G10)-Datos!BF10)/Datos!BF10," - ")</f>
        <v>-0.78409090909090906</v>
      </c>
      <c r="K10" s="461">
        <f>IF(ISNUMBER((((NºAsuntos!C10+NºAsuntos!E10)/NºAsuntos!G10)-Datos!BG10)/Datos!BG10),(((NºAsuntos!C10+NºAsuntos!E10)/NºAsuntos!G10)-Datos!BG10)/Datos!BG10," - ")</f>
        <v>7.2348484848484801E-2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0.12692763938315541</v>
      </c>
      <c r="C12" s="455">
        <f>IF(ISNUMBER(
   IF(J_V="SI",(Datos!J12-Datos!T12)/Datos!T12,(Datos!J12+Datos!Z12-(Datos!T12+Datos!AH12))/(Datos!T12+Datos!AH12))
     ),IF(J_V="SI",(Datos!J12-Datos!T12)/Datos!T12,(Datos!J12+Datos!Z12-(Datos!T12+Datos!AH12))/(Datos!T12+Datos!AH12))," - ")</f>
        <v>-0.3498122653316646</v>
      </c>
      <c r="D12" s="455">
        <f>IF(ISNUMBER(
   IF(J_V="SI",(Datos!K12-Datos!U12)/Datos!U12,(Datos!K12+Datos!AA12-(Datos!U12+Datos!AI12))/(Datos!U12+Datos!AI12))
     ),IF(J_V="SI",(Datos!K12-Datos!U12)/Datos!U12,(Datos!K12+Datos!AA12-(Datos!U12+Datos!AI12))/(Datos!U12+Datos!AI12))," - ")</f>
        <v>-8.5365853658536592E-2</v>
      </c>
      <c r="E12" s="455">
        <f>IF(ISNUMBER(
   IF(J_V="SI",(Datos!L12-Datos!V12)/Datos!V12,(Datos!L12+Datos!AB12-(Datos!V12+Datos!AJ12))/(Datos!V12+Datos!AJ12))
     ),IF(J_V="SI",(Datos!L12-Datos!V12)/Datos!V12,(Datos!L12+Datos!AB12-(Datos!V12+Datos!AJ12))/(Datos!V12+Datos!AJ12))," - ")</f>
        <v>1.8022268352519345E-2</v>
      </c>
      <c r="F12" s="455">
        <f>IF(ISNUMBER((Datos!M12-Datos!W12)/Datos!W12),(Datos!M12-Datos!W12)/Datos!W12," - ")</f>
        <v>-0.1279826464208243</v>
      </c>
      <c r="G12" s="456">
        <f>IF(ISNUMBER((Datos!N12-Datos!X12)/Datos!X12),(Datos!N12-Datos!X12)/Datos!X12," - ")</f>
        <v>-5.2631578947368418E-2</v>
      </c>
      <c r="H12" s="454">
        <f>IF(ISNUMBER(((NºAsuntos!G12/NºAsuntos!E12)-Datos!BD12)/Datos!BD12),((NºAsuntos!G12/NºAsuntos!E12)-Datos!BD12)/Datos!BD12," - ")</f>
        <v>0.40672316251555207</v>
      </c>
      <c r="I12" s="455">
        <f>IF(ISNUMBER(((NºAsuntos!I12/NºAsuntos!G12)-Datos!BE12)/Datos!BE12),((NºAsuntos!I12/NºAsuntos!G12)-Datos!BE12)/Datos!BE12," - ")</f>
        <v>0.11303768006542125</v>
      </c>
      <c r="J12" s="460">
        <f>IF(ISNUMBER((('Resol  Asuntos'!D12/NºAsuntos!G12)-Datos!BF12)/Datos!BF12),(('Resol  Asuntos'!D12/NºAsuntos!G12)-Datos!BF12)/Datos!BF12," - ")</f>
        <v>-0.49711670480549197</v>
      </c>
      <c r="K12" s="461">
        <f>IF(ISNUMBER((((NºAsuntos!C12+NºAsuntos!E12)/NºAsuntos!G12)-Datos!BG12)/Datos!BG12),(((NºAsuntos!C12+NºAsuntos!E12)/NºAsuntos!G12)-Datos!BG12)/Datos!BG12," - ")</f>
        <v>9.8506696607586805E-2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0.12844919786096257</v>
      </c>
      <c r="C13" s="852">
        <f>IF(ISNUMBER(
   IF(J_V="SI",(Datos!J13-Datos!T13)/Datos!T13,(Datos!J13+Datos!Z13-(Datos!T13+Datos!AH13))/(Datos!T13+Datos!AH13))
     ),IF(J_V="SI",(Datos!J13-Datos!T13)/Datos!T13,(Datos!J13+Datos!Z13-(Datos!T13+Datos!AH13))/(Datos!T13+Datos!AH13))," - ")</f>
        <v>-0.34362457548626119</v>
      </c>
      <c r="D13" s="852">
        <f>IF(ISNUMBER(
   IF(J_V="SI",(Datos!K13-Datos!U13)/Datos!U13,(Datos!K13+Datos!AA13-(Datos!U13+Datos!AI13))/(Datos!U13+Datos!AI13))
     ),IF(J_V="SI",(Datos!K13-Datos!U13)/Datos!U13,(Datos!K13+Datos!AA13-(Datos!U13+Datos!AI13))/(Datos!U13+Datos!AI13))," - ")</f>
        <v>-8.0561330561330566E-2</v>
      </c>
      <c r="E13" s="852">
        <f>IF(ISNUMBER(
   IF(J_V="SI",(Datos!L13-Datos!V13)/Datos!V13,(Datos!L13+Datos!AB13-(Datos!V13+Datos!AJ13))/(Datos!V13+Datos!AJ13))
     ),IF(J_V="SI",(Datos!L13-Datos!V13)/Datos!V13,(Datos!L13+Datos!AB13-(Datos!V13+Datos!AJ13))/(Datos!V13+Datos!AJ13))," - ")</f>
        <v>2.0037453183520598E-2</v>
      </c>
      <c r="F13" s="853">
        <f>IF(ISNUMBER((Datos!M13-Datos!W13)/Datos!W13),(Datos!M13-Datos!W13)/Datos!W13," - ")</f>
        <v>-0.1488469601677149</v>
      </c>
      <c r="G13" s="854">
        <f>IF(ISNUMBER((Datos!N13-Datos!X13)/Datos!X13),(Datos!N13-Datos!X13)/Datos!X13," - ")</f>
        <v>-4.3820224719101124E-2</v>
      </c>
      <c r="H13" s="854">
        <f>IF(ISNUMBER(((NºAsuntos!G13/NºAsuntos!E13)-Datos!BD13)/Datos!BD13),((NºAsuntos!G13/NºAsuntos!E13)-Datos!BD13)/Datos!BD13," - ")</f>
        <v>0.4007816793564678</v>
      </c>
      <c r="I13" s="854">
        <f>IF(ISNUMBER(((NºAsuntos!I13/NºAsuntos!G13)-Datos!BE13)/Datos!BE13),((NºAsuntos!I13/NºAsuntos!G13)-Datos!BE13)/Datos!BE13," - ")</f>
        <v>0.10941326168744682</v>
      </c>
      <c r="J13" s="854">
        <f>IF(ISNUMBER((('Resol  Asuntos'!D13/NºAsuntos!G13)-Datos!BF13)/Datos!BF13),(('Resol  Asuntos'!D13/NºAsuntos!G13)-Datos!BF13)/Datos!BF13," - ")</f>
        <v>-0.50384969607662555</v>
      </c>
      <c r="K13" s="854">
        <f>IF(ISNUMBER((((NºAsuntos!C13+NºAsuntos!E13)/NºAsuntos!G13)-Datos!BG13)/Datos!BG13),(((NºAsuntos!C13+NºAsuntos!E13)/NºAsuntos!G13)-Datos!BG13)/Datos!BG13," - ")</f>
        <v>9.5222838713402952E-2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0.17190332326283989</v>
      </c>
      <c r="C17" s="455">
        <f>IF(ISNUMBER(
   IF(D_I="SI",(Datos!J17-Datos!T17)/Datos!T17,(Datos!J17+Datos!AD17-(Datos!T17+Datos!AL17))/(Datos!T17+Datos!AL17))
     ),IF(D_I="SI",(Datos!J17-Datos!T17)/Datos!T17,(Datos!J17+Datos!AD17-(Datos!T17+Datos!AL17))/(Datos!T17+Datos!AL17))," - ")</f>
        <v>-0.16079923882017128</v>
      </c>
      <c r="D17" s="455">
        <f>IF(ISNUMBER(
   IF(D_I="SI",(Datos!K17-Datos!U17)/Datos!U17,(Datos!K17+Datos!AE17-(Datos!U17+Datos!AM17))/(Datos!U17+Datos!AM17))
     ),IF(D_I="SI",(Datos!K17-Datos!U17)/Datos!U17,(Datos!K17+Datos!AE17-(Datos!U17+Datos!AM17))/(Datos!U17+Datos!AM17))," - ")</f>
        <v>-0.22024952015355087</v>
      </c>
      <c r="E17" s="455">
        <f>IF(ISNUMBER(
   IF(D_I="SI",(Datos!L17-Datos!V17)/Datos!V17,(Datos!L17+Datos!AF17-(Datos!V17+Datos!AN17))/(Datos!V17+Datos!AN17))
     ),IF(D_I="SI",(Datos!L17-Datos!V17)/Datos!V17,(Datos!L17+Datos!AF17-(Datos!V17+Datos!AN17))/(Datos!V17+Datos!AN17))," - ")</f>
        <v>0.20262608176663682</v>
      </c>
      <c r="F17" s="455">
        <f>IF(ISNUMBER((Datos!M17-Datos!W17)/Datos!W17),(Datos!M17-Datos!W17)/Datos!W17," - ")</f>
        <v>-0.31034482758620691</v>
      </c>
      <c r="G17" s="456">
        <f>IF(ISNUMBER((Datos!N17-Datos!X17)/Datos!X17),(Datos!N17-Datos!X17)/Datos!X17," - ")</f>
        <v>-0.14085494043447794</v>
      </c>
      <c r="H17" s="454">
        <f>IF(ISNUMBER(((NºAsuntos!G17/NºAsuntos!E17)-Datos!BD17)/Datos!BD17),((NºAsuntos!G17/NºAsuntos!E17)-Datos!BD17)/Datos!BD17," - ")</f>
        <v>-7.0841548391589487E-2</v>
      </c>
      <c r="I17" s="455">
        <f>IF(ISNUMBER(((NºAsuntos!I17/NºAsuntos!G17)-Datos!BE17)/Datos!BE17),((NºAsuntos!I17/NºAsuntos!G17)-Datos!BE17)/Datos!BE17," - ")</f>
        <v>0.54232169501641292</v>
      </c>
      <c r="J17" s="460">
        <f>IF(ISNUMBER((('Resol  Asuntos'!D17/NºAsuntos!G17)-Datos!BF17)/Datos!BF17),(('Resol  Asuntos'!D17/NºAsuntos!G17)-Datos!BF17)/Datos!BF17," - ")</f>
        <v>-0.1155437665782493</v>
      </c>
      <c r="K17" s="461">
        <f>IF(ISNUMBER((((NºAsuntos!C17+NºAsuntos!E17)/NºAsuntos!G17)-Datos!BG17)/Datos!BG17),(((NºAsuntos!C17+NºAsuntos!E17)/NºAsuntos!G17)-Datos!BG17)/Datos!BG17," - ")</f>
        <v>0.33720075046904319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-6.0465116279069767E-2</v>
      </c>
      <c r="C18" s="455">
        <f>IF(ISNUMBER(
   IF(D_I="SI",(Datos!J18-Datos!T18)/Datos!T18,(Datos!J18+Datos!AD18-(Datos!T18+Datos!AL18))/(Datos!T18+Datos!AL18))
     ),IF(D_I="SI",(Datos!J18-Datos!T18)/Datos!T18,(Datos!J18+Datos!AD18-(Datos!T18+Datos!AL18))/(Datos!T18+Datos!AL18))," - ")</f>
        <v>0.13043478260869565</v>
      </c>
      <c r="D18" s="455">
        <f>IF(ISNUMBER(
   IF(D_I="SI",(Datos!K18-Datos!U18)/Datos!U18,(Datos!K18+Datos!AE18-(Datos!U18+Datos!AM18))/(Datos!U18+Datos!AM18))
     ),IF(D_I="SI",(Datos!K18-Datos!U18)/Datos!U18,(Datos!K18+Datos!AE18-(Datos!U18+Datos!AM18))/(Datos!U18+Datos!AM18))," - ")</f>
        <v>-0.34355828220858897</v>
      </c>
      <c r="E18" s="455">
        <f>IF(ISNUMBER(
   IF(D_I="SI",(Datos!L18-Datos!V18)/Datos!V18,(Datos!L18+Datos!AF18-(Datos!V18+Datos!AN18))/(Datos!V18+Datos!AN18))
     ),IF(D_I="SI",(Datos!L18-Datos!V18)/Datos!V18,(Datos!L18+Datos!AF18-(Datos!V18+Datos!AN18))/(Datos!V18+Datos!AN18))," - ")</f>
        <v>0.41340782122905029</v>
      </c>
      <c r="F18" s="455">
        <f>IF(ISNUMBER((Datos!M18-Datos!W18)/Datos!W18),(Datos!M18-Datos!W18)/Datos!W18," - ")</f>
        <v>0.33333333333333331</v>
      </c>
      <c r="G18" s="456">
        <f>IF(ISNUMBER((Datos!N18-Datos!X18)/Datos!X18),(Datos!N18-Datos!X18)/Datos!X18," - ")</f>
        <v>-0.3</v>
      </c>
      <c r="H18" s="454">
        <f>IF(ISNUMBER(((NºAsuntos!G18/NºAsuntos!E18)-Datos!BD18)/Datos!BD18),((NºAsuntos!G18/NºAsuntos!E18)-Datos!BD18)/Datos!BD18," - ")</f>
        <v>-0.4193015573383671</v>
      </c>
      <c r="I18" s="455">
        <f>IF(ISNUMBER(((NºAsuntos!I18/NºAsuntos!G18)-Datos!BE18)/Datos!BE18),((NºAsuntos!I18/NºAsuntos!G18)-Datos!BE18)/Datos!BE18," - ")</f>
        <v>1.153135279068553</v>
      </c>
      <c r="J18" s="460">
        <f>IF(ISNUMBER((('Resol  Asuntos'!D18/NºAsuntos!G18)-Datos!BF18)/Datos!BF18),(('Resol  Asuntos'!D18/NºAsuntos!G18)-Datos!BF18)/Datos!BF18," - ")</f>
        <v>1.0311526479750779</v>
      </c>
      <c r="K18" s="461">
        <f>IF(ISNUMBER((((NºAsuntos!C18+NºAsuntos!E18)/NºAsuntos!G18)-Datos!BG18)/Datos!BG18),(((NºAsuntos!C18+NºAsuntos!E18)/NºAsuntos!G18)-Datos!BG18)/Datos!BG18," - ")</f>
        <v>0.5449418866326019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0.15773049645390072</v>
      </c>
      <c r="C19" s="852">
        <f>IF(ISNUMBER(
   IF(Criterios!B14="SI",(Datos!J19-Datos!T19)/Datos!T19,(Datos!J19+Datos!AD19-(Datos!T19+Datos!AL19))/(Datos!T19+Datos!AL19))
     ),IF(Criterios!B14="SI",(Datos!J19-Datos!T19)/Datos!T19,(Datos!J19+Datos!AD19-(Datos!T19+Datos!AL19))/(Datos!T19+Datos!AL19))," - ")</f>
        <v>-0.14285714285714285</v>
      </c>
      <c r="D19" s="852">
        <f>IF(ISNUMBER(
   IF(Criterios!B14="SI",(Datos!K19-Datos!U19)/Datos!U19,(Datos!K19+Datos!AE19-(Datos!U19+Datos!AM19))/(Datos!U19+Datos!AM19))
     ),IF(Criterios!B14="SI",(Datos!K19-Datos!U19)/Datos!U19,(Datos!K19+Datos!AE19-(Datos!U19+Datos!AM19))/(Datos!U19+Datos!AM19))," - ")</f>
        <v>-0.22919448153093014</v>
      </c>
      <c r="E19" s="852">
        <f>IF(ISNUMBER(
   IF(Criterios!B14="SI",(Datos!L19-Datos!V19)/Datos!V19,(Datos!L19+Datos!AF19-(Datos!V19+Datos!AN19))/(Datos!V19+Datos!AN19))
     ),IF(Criterios!B14="SI",(Datos!L19-Datos!V19)/Datos!V19,(Datos!L19+Datos!AF19-(Datos!V19+Datos!AN19))/(Datos!V19+Datos!AN19))," - ")</f>
        <v>0.213314447592068</v>
      </c>
      <c r="F19" s="853">
        <f>IF(ISNUMBER((Datos!M19-Datos!W19)/Datos!W19),(Datos!M19-Datos!W19)/Datos!W19," - ")</f>
        <v>-0.27125506072874495</v>
      </c>
      <c r="G19" s="854">
        <f>IF(ISNUMBER((Datos!N19-Datos!X19)/Datos!X19),(Datos!N19-Datos!X19)/Datos!X19," - ")</f>
        <v>-0.1493032514930325</v>
      </c>
      <c r="H19" s="854">
        <f>IF(ISNUMBER(((NºAsuntos!G19/NºAsuntos!E19)-Datos!BD19)/Datos!BD19),((NºAsuntos!G19/NºAsuntos!E19)-Datos!BD19)/Datos!BD19," - ")</f>
        <v>-0.10072689511941851</v>
      </c>
      <c r="I19" s="854">
        <f>IF(ISNUMBER(((NºAsuntos!I19/NºAsuntos!G19)-Datos!BE19)/Datos!BE19),((NºAsuntos!I19/NºAsuntos!G19)-Datos!BE19)/Datos!BE19," - ")</f>
        <v>0.5740863531982543</v>
      </c>
      <c r="J19" s="854">
        <f>IF(ISNUMBER((('Resol  Asuntos'!D19/NºAsuntos!G19)-Datos!BF19)/Datos!BF19),(('Resol  Asuntos'!D19/NºAsuntos!G19)-Datos!BF19)/Datos!BF19," - ")</f>
        <v>-5.4567044721414465E-2</v>
      </c>
      <c r="K19" s="854">
        <f>IF(ISNUMBER((((NºAsuntos!C19+NºAsuntos!E19)/NºAsuntos!G19)-Datos!BG19)/Datos!BG19),(((NºAsuntos!C19+NºAsuntos!E19)/NºAsuntos!G19)-Datos!BG19)/Datos!BG19," - ")</f>
        <v>0.35045308052695157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0.13646601941747571</v>
      </c>
      <c r="C20" s="799">
        <f>IF(ISNUMBER(
   IF(J_V="SI",(Datos!J20-Datos!T20)/Datos!T20,(Datos!J20+Datos!Z20-(Datos!T20+Datos!AH20))/(Datos!T20+Datos!AH20))
     ),IF(J_V="SI",(Datos!J20-Datos!T20)/Datos!T20,(Datos!J20+Datos!Z20-(Datos!T20+Datos!AH20))/(Datos!T20+Datos!AH20))," - ")</f>
        <v>-0.26154407738638435</v>
      </c>
      <c r="D20" s="799">
        <f>IF(ISNUMBER(
   IF(J_V="SI",(Datos!K20-Datos!U20)/Datos!U20,(Datos!K20+Datos!AA20-(Datos!U20+Datos!AI20))/(Datos!U20+Datos!AI20))
     ),IF(J_V="SI",(Datos!K20-Datos!U20)/Datos!U20,(Datos!K20+Datos!AA20-(Datos!U20+Datos!AI20))/(Datos!U20+Datos!AI20))," - ")</f>
        <v>-0.16063294174058979</v>
      </c>
      <c r="E20" s="799">
        <f>IF(ISNUMBER(
   IF(J_V="SI",(Datos!L20-Datos!V20)/Datos!V20,(Datos!L20+Datos!AB20-(Datos!V20+Datos!AJ20))/(Datos!V20+Datos!AJ20))
     ),IF(J_V="SI",(Datos!L20-Datos!V20)/Datos!V20,(Datos!L20+Datos!AB20-(Datos!V20+Datos!AJ20))/(Datos!V20+Datos!AJ20))," - ")</f>
        <v>6.8050668543279375E-2</v>
      </c>
      <c r="F20" s="800">
        <f>IF(ISNUMBER((Datos!M20-Datos!W20)/Datos!W20),(Datos!M20-Datos!W20)/Datos!W20," - ")</f>
        <v>-0.19060773480662985</v>
      </c>
      <c r="G20" s="801">
        <f>IF(ISNUMBER((Datos!N20-Datos!X20)/Datos!X20),(Datos!N20-Datos!X20)/Datos!X20," - ")</f>
        <v>-0.11013767209011265</v>
      </c>
      <c r="H20" s="802">
        <f>IF(ISNUMBER((Tasas!B20-Datos!BD20)/Datos!BD20),(Tasas!B20-Datos!BD20)/Datos!BD20," - ")</f>
        <v>0.13665153539379843</v>
      </c>
      <c r="I20" s="803">
        <f>IF(ISNUMBER((Tasas!C20-Datos!BE20)/Datos!BE20),(Tasas!C20-Datos!BE20)/Datos!BE20," - ")</f>
        <v>0.27244768308883704</v>
      </c>
      <c r="J20" s="804">
        <f>IF(ISNUMBER((Tasas!D20-Datos!BF20)/Datos!BF20),(Tasas!D20-Datos!BF20)/Datos!BF20," - ")</f>
        <v>-0.38597616411644675</v>
      </c>
      <c r="K20" s="804">
        <f>IF(ISNUMBER((Tasas!E20-Datos!BG20)/Datos!BG20),(Tasas!E20-Datos!BG20)/Datos!BG20," - ")</f>
        <v>0.21240501126143468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V7mwaiMtHDPuYFi3qc2zNtv9H+8lf28m34RVN5wPtOloq7wxn1x5HZuYMf0ckqbB60YZqiYgYruHGgdh9xRUdg==" saltValue="v5t89NxouRGlbhZi5JOVy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 FELIU DE LLOBREGAT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0.91666666666666663</v>
      </c>
      <c r="C10" s="442">
        <f>IF(ISNUMBER(NºAsuntos!I10/NºAsuntos!G10),NºAsuntos!I10/NºAsuntos!G10," - ")</f>
        <v>2.3863636363636362</v>
      </c>
      <c r="D10" s="443">
        <f>IF(ISNUMBER('Resol  Asuntos'!D10/NºAsuntos!G10),'Resol  Asuntos'!D10/NºAsuntos!G10," - ")</f>
        <v>9.0909090909090912E-2</v>
      </c>
      <c r="E10" s="444">
        <f>IF(ISNUMBER((NºAsuntos!C10+NºAsuntos!E10)/NºAsuntos!G10),(NºAsuntos!C10+NºAsuntos!E10)/NºAsuntos!G10," - ")</f>
        <v>3.3863636363636362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0.83012512030798846</v>
      </c>
      <c r="C12" s="442">
        <f>IF(ISNUMBER(NºAsuntos!I12/NºAsuntos!G12),NºAsuntos!I12/NºAsuntos!G12," - ")</f>
        <v>6.2544927536231887</v>
      </c>
      <c r="D12" s="443">
        <f>IF(ISNUMBER('Resol  Asuntos'!D12/NºAsuntos!G12),'Resol  Asuntos'!D12/NºAsuntos!G12," - ")</f>
        <v>0.23304347826086957</v>
      </c>
      <c r="E12" s="444">
        <f>IF(ISNUMBER((NºAsuntos!C12+NºAsuntos!E12)/NºAsuntos!G12),(NºAsuntos!C12+NºAsuntos!E12)/NºAsuntos!G12," - ")</f>
        <v>7.2626086956521743</v>
      </c>
      <c r="G12" s="462"/>
    </row>
    <row r="13" spans="1:7" ht="14.25" thickTop="1" thickBot="1">
      <c r="A13" s="845" t="str">
        <f>Datos!A13</f>
        <v>TOTAL</v>
      </c>
      <c r="B13" s="855">
        <f>IF(ISNUMBER(NºAsuntos!G13/NºAsuntos!E13),NºAsuntos!G13/NºAsuntos!E13," - ")</f>
        <v>0.83207902163687675</v>
      </c>
      <c r="C13" s="856">
        <f>IF(ISNUMBER(NºAsuntos!I13/NºAsuntos!G13),NºAsuntos!I13/NºAsuntos!G13," - ")</f>
        <v>6.1582815149802146</v>
      </c>
      <c r="D13" s="857">
        <f>IF(ISNUMBER('Resol  Asuntos'!D13/NºAsuntos!G13),'Resol  Asuntos'!D13/NºAsuntos!G13," - ")</f>
        <v>0.22950819672131148</v>
      </c>
      <c r="E13" s="858">
        <f>IF(ISNUMBER((NºAsuntos!C13+NºAsuntos!E13)/NºAsuntos!G13),(NºAsuntos!C13+NºAsuntos!E13)/NºAsuntos!G13," - ")</f>
        <v>7.1661955907292256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0.92120181405895696</v>
      </c>
      <c r="C17" s="442">
        <f>IF(ISNUMBER(NºAsuntos!I17/NºAsuntos!G17),NºAsuntos!I17/NºAsuntos!G17," - ")</f>
        <v>2.48</v>
      </c>
      <c r="D17" s="443">
        <f>IF(ISNUMBER('Resol  Asuntos'!D17/NºAsuntos!G17),'Resol  Asuntos'!D17/NºAsuntos!G17," - ")</f>
        <v>9.8461538461538461E-2</v>
      </c>
      <c r="E17" s="444">
        <f>IF(ISNUMBER((NºAsuntos!C17+NºAsuntos!E17)/NºAsuntos!G17),(NºAsuntos!C17+NºAsuntos!E17)/NºAsuntos!G17," - ")</f>
        <v>3.4726153846153847</v>
      </c>
      <c r="G17" s="462"/>
    </row>
    <row r="18" spans="1:7" ht="21.75" thickBot="1">
      <c r="A18" s="401" t="str">
        <f>Datos!A18</f>
        <v>Sección De Violencia sobre la Mujer del TI</v>
      </c>
      <c r="B18" s="441">
        <f>IF(ISNUMBER(NºAsuntos!G18/NºAsuntos!E18),NºAsuntos!G18/NºAsuntos!E18," - ")</f>
        <v>0.6858974358974359</v>
      </c>
      <c r="C18" s="442">
        <f>IF(ISNUMBER(NºAsuntos!I18/NºAsuntos!G18),NºAsuntos!I18/NºAsuntos!G18," - ")</f>
        <v>2.3644859813084111</v>
      </c>
      <c r="D18" s="443">
        <f>IF(ISNUMBER('Resol  Asuntos'!D18/NºAsuntos!G18),'Resol  Asuntos'!D18/NºAsuntos!G18," - ")</f>
        <v>0.18691588785046728</v>
      </c>
      <c r="E18" s="444">
        <f>IF(ISNUMBER((NºAsuntos!C18+NºAsuntos!E18)/NºAsuntos!G18),(NºAsuntos!C18+NºAsuntos!E18)/NºAsuntos!G18," - ")</f>
        <v>3.3457943925233646</v>
      </c>
      <c r="G18" s="462"/>
    </row>
    <row r="19" spans="1:7" ht="14.25" thickTop="1" thickBot="1">
      <c r="A19" s="845" t="str">
        <f>Datos!A19</f>
        <v>TOTAL</v>
      </c>
      <c r="B19" s="855">
        <f>IF(ISNUMBER(NºAsuntos!G19/NºAsuntos!E19),NºAsuntos!G19/NºAsuntos!E19," - ")</f>
        <v>0.90208333333333335</v>
      </c>
      <c r="C19" s="856">
        <f>IF(ISNUMBER(NºAsuntos!I19/NºAsuntos!G19),NºAsuntos!I19/NºAsuntos!G19," - ")</f>
        <v>2.4728637413394918</v>
      </c>
      <c r="D19" s="859">
        <f>IF(ISNUMBER('Resol  Asuntos'!D19/NºAsuntos!G19),'Resol  Asuntos'!D19/NºAsuntos!G19," - ")</f>
        <v>0.10392609699769054</v>
      </c>
      <c r="E19" s="858">
        <f>IF(ISNUMBER((NºAsuntos!C19+NºAsuntos!E19)/NºAsuntos!G19),(NºAsuntos!C19+NºAsuntos!E19)/NºAsuntos!G19," - ")</f>
        <v>3.4647806004618937</v>
      </c>
      <c r="G19" s="462"/>
    </row>
    <row r="20" spans="1:7" ht="15.75" customHeight="1" thickTop="1" thickBot="1">
      <c r="A20" s="790" t="str">
        <f>Datos!A20</f>
        <v>TOTAL JURISDICCIONES</v>
      </c>
      <c r="B20" s="805">
        <f>IF(ISNUMBER(NºAsuntos!G20/NºAsuntos!E20),NºAsuntos!G20/NºAsuntos!E20," - ")</f>
        <v>0.86529906080079089</v>
      </c>
      <c r="C20" s="806">
        <f>IF(ISNUMBER(NºAsuntos!I20/NºAsuntos!G20),NºAsuntos!I20/NºAsuntos!G20," - ")</f>
        <v>4.3350471293916026</v>
      </c>
      <c r="D20" s="807">
        <f>IF(ISNUMBER('Resol  Asuntos'!D20/NºAsuntos!G20),'Resol  Asuntos'!D20/NºAsuntos!G20," - ")</f>
        <v>0.1673807483576121</v>
      </c>
      <c r="E20" s="808">
        <f>IF(ISNUMBER((NºAsuntos!C20+NºAsuntos!E20)/NºAsuntos!G20),(NºAsuntos!C20+NºAsuntos!E20)/NºAsuntos!G20," - ")</f>
        <v>5.3350471293916026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G7H6tyFUTfTLIviCofzo1brM+9dJ4XKj5plh6cqv/uQbNSwY0rUuEKxlFnJmTgtL1P7qkaiqzPigVXTqMgdBg==" saltValue="qca/5ExhaKVJqj3RP/Ae4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 FELIU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101</v>
      </c>
      <c r="G10" s="332">
        <f>IF(ISNUMBER(Datos!I10),Datos!I10," - ")</f>
        <v>101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44</v>
      </c>
      <c r="X10" s="225">
        <f>IF(ISNUMBER(Datos!Q10),Datos!Q10," - ")</f>
        <v>7</v>
      </c>
      <c r="Y10" s="333">
        <f t="shared" ref="Y10:Y12" si="0">SUM(W10:X10)</f>
        <v>51</v>
      </c>
      <c r="Z10" s="334" t="str">
        <f>IF(ISNUMBER(Datos!CC10),Datos!CC10," - ")</f>
        <v xml:space="preserve"> - </v>
      </c>
      <c r="AA10" s="331">
        <f>IF(ISNUMBER(Datos!L10),Datos!L10,"-")</f>
        <v>105</v>
      </c>
      <c r="AB10" s="333">
        <f>IF(ISNUMBER(Datos!R10),Datos!R10," - ")</f>
        <v>103</v>
      </c>
      <c r="AC10" s="333">
        <f t="shared" ref="AC10:AC12" si="1">IF(ISNUMBER(AA10+AB10),AA10+AB10," - ")</f>
        <v>208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0.91666666666666663</v>
      </c>
      <c r="AM10" s="259">
        <f>IF(ISNUMBER(((NºAsuntos!I10/NºAsuntos!G10)*11)/factor_trimestre),((NºAsuntos!I10/NºAsuntos!G10)*11)/factor_trimestre," - ")</f>
        <v>7.1590909090909092</v>
      </c>
      <c r="AN10" s="243">
        <f>IF(ISNUMBER('Resol  Asuntos'!D10/NºAsuntos!G10),'Resol  Asuntos'!D10/NºAsuntos!G10," - ")</f>
        <v>9.0909090909090912E-2</v>
      </c>
      <c r="AO10" s="244">
        <f>IF(ISNUMBER((NºAsuntos!C10+NºAsuntos!E10)/NºAsuntos!G10),(NºAsuntos!C10+NºAsuntos!E10)/NºAsuntos!G10," - ")</f>
        <v>3.3863636363636362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321</v>
      </c>
      <c r="Y12" s="333">
        <f t="shared" si="0"/>
        <v>321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7513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402</v>
      </c>
      <c r="AJ12" s="228" t="str">
        <f>IF(ISNUMBER(Datos!BW12),Datos!BW12," - ")</f>
        <v xml:space="preserve"> - </v>
      </c>
      <c r="AK12" s="227" t="str">
        <f>IF(ISNUMBER(Datos!BX12),Datos!BX12," - ")</f>
        <v xml:space="preserve"> - </v>
      </c>
      <c r="AL12" s="242">
        <f>IF(ISNUMBER(NºAsuntos!G12/NºAsuntos!E12),NºAsuntos!G12/NºAsuntos!E12," - ")</f>
        <v>0.83012512030798846</v>
      </c>
      <c r="AM12" s="259">
        <f>IF(ISNUMBER(((NºAsuntos!I12/NºAsuntos!G12)*11)/factor_trimestre),((NºAsuntos!I12/NºAsuntos!G12)*11)/factor_trimestre," - ")</f>
        <v>18.763478260869569</v>
      </c>
      <c r="AN12" s="243">
        <f>IF(ISNUMBER('Resol  Asuntos'!D12/NºAsuntos!G12),'Resol  Asuntos'!D12/NºAsuntos!G12," - ")</f>
        <v>0.23304347826086957</v>
      </c>
      <c r="AO12" s="244">
        <f>IF(ISNUMBER((NºAsuntos!C12+NºAsuntos!E12)/NºAsuntos!G12),(NºAsuntos!C12+NºAsuntos!E12)/NºAsuntos!G12," - ")</f>
        <v>7.2626086956521743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101</v>
      </c>
      <c r="G13" s="863">
        <f t="shared" si="3"/>
        <v>101</v>
      </c>
      <c r="H13" s="862">
        <f t="shared" si="3"/>
        <v>0</v>
      </c>
      <c r="I13" s="864">
        <f t="shared" si="3"/>
        <v>0</v>
      </c>
      <c r="J13" s="864">
        <f t="shared" si="3"/>
        <v>0</v>
      </c>
      <c r="K13" s="864">
        <f t="shared" si="3"/>
        <v>0</v>
      </c>
      <c r="L13" s="864">
        <f t="shared" si="3"/>
        <v>680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44</v>
      </c>
      <c r="X13" s="864">
        <f t="shared" si="4"/>
        <v>328</v>
      </c>
      <c r="Y13" s="865">
        <f t="shared" si="4"/>
        <v>372</v>
      </c>
      <c r="Z13" s="865">
        <f t="shared" si="4"/>
        <v>0</v>
      </c>
      <c r="AA13" s="865">
        <f t="shared" si="4"/>
        <v>105</v>
      </c>
      <c r="AB13" s="865">
        <f t="shared" si="4"/>
        <v>7616</v>
      </c>
      <c r="AC13" s="865">
        <f t="shared" si="4"/>
        <v>208</v>
      </c>
      <c r="AD13" s="865">
        <f t="shared" si="4"/>
        <v>0</v>
      </c>
      <c r="AE13" s="869">
        <f t="shared" si="4"/>
        <v>0</v>
      </c>
      <c r="AF13" s="862">
        <f t="shared" si="4"/>
        <v>0</v>
      </c>
      <c r="AG13" s="870">
        <f t="shared" si="4"/>
        <v>0</v>
      </c>
      <c r="AH13" s="867">
        <f t="shared" si="4"/>
        <v>0</v>
      </c>
      <c r="AI13" s="862">
        <f t="shared" si="4"/>
        <v>406</v>
      </c>
      <c r="AJ13" s="864">
        <f t="shared" si="4"/>
        <v>0</v>
      </c>
      <c r="AK13" s="867">
        <f>SUBTOTAL(9,AK9:AK12)</f>
        <v>0</v>
      </c>
      <c r="AL13" s="871">
        <f>IF(ISNUMBER(NºAsuntos!G13/NºAsuntos!E13),NºAsuntos!G13/NºAsuntos!E13," - ")</f>
        <v>0.83207902163687675</v>
      </c>
      <c r="AM13" s="871">
        <f>IF(ISNUMBER(((NºAsuntos!I13/NºAsuntos!G13)*11)/factor_trimestre),((NºAsuntos!I13/NºAsuntos!G13)*11)/factor_trimestre," - ")</f>
        <v>18.474844544940645</v>
      </c>
      <c r="AN13" s="872">
        <f>IF(ISNUMBER('Resol  Asuntos'!D13/NºAsuntos!G13),'Resol  Asuntos'!D13/NºAsuntos!G13," - ")</f>
        <v>0.22950819672131148</v>
      </c>
      <c r="AO13" s="873">
        <f>IF(ISNUMBER((NºAsuntos!C13+NºAsuntos!E13)/NºAsuntos!G13),(NºAsuntos!C13+NºAsuntos!E13)/NºAsuntos!G13," - ")</f>
        <v>7.1661955907292256</v>
      </c>
      <c r="AP13" s="874" t="str">
        <f t="shared" si="2"/>
        <v xml:space="preserve"> - </v>
      </c>
      <c r="AQ13" s="874">
        <f>IF(ISNUMBER((H13-W13+K13)/(F13)),(H13-W13+K13)/(F13)," - ")</f>
        <v>-0.43564356435643564</v>
      </c>
      <c r="AR13" s="875">
        <f>IF(ISNUMBER((Datos!P13-Datos!Q13)/(Datos!R13-Datos!P13+Datos!Q13)),(Datos!P13-Datos!Q13)/(Datos!R13-Datos!P13+Datos!Q13)," - ")</f>
        <v>4.8458149779735685E-2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3891</v>
      </c>
      <c r="G17" s="332">
        <f>IF(ISNUMBER(IF(D_I="SI",Datos!I17,Datos!I17+Datos!AC17)),IF(D_I="SI",Datos!I17,Datos!I17+Datos!AC17)," - ")</f>
        <v>3879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1625</v>
      </c>
      <c r="X17" s="225">
        <f>IF(ISNUMBER(Datos!Q17),Datos!Q17," - ")</f>
        <v>12</v>
      </c>
      <c r="Y17" s="333">
        <f t="shared" ref="Y17:Y18" si="9">SUM(W17:X17)</f>
        <v>1637</v>
      </c>
      <c r="Z17" s="334" t="str">
        <f>IF(ISNUMBER(Datos!CC17),Datos!CC17," - ")</f>
        <v xml:space="preserve"> - </v>
      </c>
      <c r="AA17" s="331">
        <f>IF(ISNUMBER(IF(D_I="SI",Datos!L17,Datos!L17+Datos!AF17)),IF(D_I="SI",Datos!L17,Datos!L17+Datos!AF17)," - ")</f>
        <v>4030</v>
      </c>
      <c r="AB17" s="333">
        <f>IF(ISNUMBER(Datos!R17),Datos!R17," - ")</f>
        <v>160</v>
      </c>
      <c r="AC17" s="333">
        <f t="shared" si="6"/>
        <v>4190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160</v>
      </c>
      <c r="AJ17" s="230" t="str">
        <f>IF(ISNUMBER(Datos!BW17),Datos!BW17," - ")</f>
        <v xml:space="preserve"> - </v>
      </c>
      <c r="AK17" s="231" t="str">
        <f>IF(ISNUMBER(Datos!BX17),Datos!BX17," - ")</f>
        <v xml:space="preserve"> - </v>
      </c>
      <c r="AL17" s="242">
        <f>IF(ISNUMBER(NºAsuntos!G17/NºAsuntos!E17),NºAsuntos!G17/NºAsuntos!E17," - ")</f>
        <v>0.92120181405895696</v>
      </c>
      <c r="AM17" s="259">
        <f>IF(ISNUMBER(((NºAsuntos!I17/NºAsuntos!G17)*11)/factor_trimestre),((NºAsuntos!I17/NºAsuntos!G17)*11)/factor_trimestre," - ")</f>
        <v>7.44</v>
      </c>
      <c r="AN17" s="243">
        <f>IF(ISNUMBER('Resol  Asuntos'!D17/NºAsuntos!G17),'Resol  Asuntos'!D17/NºAsuntos!G17," - ")</f>
        <v>9.8461538461538461E-2</v>
      </c>
      <c r="AO17" s="244">
        <f>IF(ISNUMBER((NºAsuntos!C17+NºAsuntos!E17)/NºAsuntos!G17),(NºAsuntos!C17+NºAsuntos!E17)/NºAsuntos!G17," - ")</f>
        <v>3.4726153846153847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202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107</v>
      </c>
      <c r="X18" s="225">
        <f>IF(ISNUMBER(Datos!Q18),Datos!Q18," - ")</f>
        <v>0</v>
      </c>
      <c r="Y18" s="333">
        <f t="shared" si="9"/>
        <v>107</v>
      </c>
      <c r="Z18" s="334" t="str">
        <f>IF(ISNUMBER(Datos!CC18),Datos!CC18," - ")</f>
        <v xml:space="preserve"> - </v>
      </c>
      <c r="AA18" s="331">
        <f>IF(ISNUMBER(Datos!L18),Datos!L18,"-")</f>
        <v>253</v>
      </c>
      <c r="AB18" s="333">
        <f>IF(ISNUMBER(Datos!R18),Datos!R18," - ")</f>
        <v>15</v>
      </c>
      <c r="AC18" s="333">
        <f t="shared" si="6"/>
        <v>268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20</v>
      </c>
      <c r="AJ18" s="230" t="str">
        <f>IF(ISNUMBER(Datos!BW18),Datos!BW18," - ")</f>
        <v xml:space="preserve"> - </v>
      </c>
      <c r="AK18" s="231" t="str">
        <f>IF(ISNUMBER(Datos!BX18),Datos!BX18," - ")</f>
        <v xml:space="preserve"> - </v>
      </c>
      <c r="AL18" s="242">
        <f>IF(ISNUMBER(NºAsuntos!G18/NºAsuntos!E18),NºAsuntos!G18/NºAsuntos!E18," - ")</f>
        <v>0.6858974358974359</v>
      </c>
      <c r="AM18" s="259">
        <f>IF(ISNUMBER(((NºAsuntos!I18/NºAsuntos!G18)*11)/factor_trimestre),((NºAsuntos!I18/NºAsuntos!G18)*11)/factor_trimestre," - ")</f>
        <v>7.0934579439252339</v>
      </c>
      <c r="AN18" s="243">
        <f>IF(ISNUMBER('Resol  Asuntos'!D18/NºAsuntos!G18),'Resol  Asuntos'!D18/NºAsuntos!G18," - ")</f>
        <v>0.18691588785046728</v>
      </c>
      <c r="AO18" s="244">
        <f>IF(ISNUMBER((NºAsuntos!C18+NºAsuntos!E18)/NºAsuntos!G18),(NºAsuntos!C18+NºAsuntos!E18)/NºAsuntos!G18," - ")</f>
        <v>3.3457943925233646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3891</v>
      </c>
      <c r="G19" s="863">
        <f>SUBTOTAL(9,G15:G18)</f>
        <v>4081</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1732</v>
      </c>
      <c r="X19" s="864">
        <f t="shared" si="13"/>
        <v>12</v>
      </c>
      <c r="Y19" s="865">
        <f t="shared" si="13"/>
        <v>1744</v>
      </c>
      <c r="Z19" s="865">
        <f t="shared" si="13"/>
        <v>0</v>
      </c>
      <c r="AA19" s="865">
        <f t="shared" si="13"/>
        <v>4283</v>
      </c>
      <c r="AB19" s="865">
        <f t="shared" si="13"/>
        <v>175</v>
      </c>
      <c r="AC19" s="865">
        <f t="shared" si="13"/>
        <v>4458</v>
      </c>
      <c r="AD19" s="865">
        <f t="shared" si="13"/>
        <v>0</v>
      </c>
      <c r="AE19" s="869">
        <f t="shared" si="13"/>
        <v>0</v>
      </c>
      <c r="AF19" s="862">
        <f t="shared" si="13"/>
        <v>0</v>
      </c>
      <c r="AG19" s="870">
        <f t="shared" si="13"/>
        <v>0</v>
      </c>
      <c r="AH19" s="867">
        <f t="shared" si="13"/>
        <v>0</v>
      </c>
      <c r="AI19" s="862">
        <f t="shared" si="13"/>
        <v>180</v>
      </c>
      <c r="AJ19" s="864">
        <f t="shared" si="13"/>
        <v>0</v>
      </c>
      <c r="AK19" s="867">
        <f t="shared" si="13"/>
        <v>0</v>
      </c>
      <c r="AL19" s="871">
        <f>IF(ISNUMBER(NºAsuntos!G19/NºAsuntos!E19),NºAsuntos!G19/NºAsuntos!E19," - ")</f>
        <v>0.90208333333333335</v>
      </c>
      <c r="AM19" s="871">
        <f>IF(ISNUMBER(((NºAsuntos!I19/NºAsuntos!G19)*11)/factor_trimestre),((NºAsuntos!I19/NºAsuntos!G19)*11)/factor_trimestre," - ")</f>
        <v>7.418591224018475</v>
      </c>
      <c r="AN19" s="872">
        <f>IF(ISNUMBER('Resol  Asuntos'!D19/NºAsuntos!G19),'Resol  Asuntos'!D19/NºAsuntos!G19," - ")</f>
        <v>0.10392609699769054</v>
      </c>
      <c r="AO19" s="873">
        <f>IF(ISNUMBER((NºAsuntos!C19+NºAsuntos!E19)/NºAsuntos!G19),(NºAsuntos!C19+NºAsuntos!E19)/NºAsuntos!G19," - ")</f>
        <v>3.4647806004618937</v>
      </c>
      <c r="AP19" s="874" t="str">
        <f t="shared" si="2"/>
        <v xml:space="preserve"> - </v>
      </c>
      <c r="AQ19" s="874">
        <f>IF(ISNUMBER((H19-W19+K19)/(F19)),(H19-W19+K19)/(F19)," - ")</f>
        <v>-0.44512978668722691</v>
      </c>
      <c r="AR19" s="875">
        <f>IF(ISNUMBER((Datos!P19-Datos!Q19)/(Datos!R19-Datos!P19+Datos!Q19)),(Datos!P19-Datos!Q19)/(Datos!R19-Datos!P19+Datos!Q19)," - ")</f>
        <v>-1.6853932584269662E-2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3992</v>
      </c>
      <c r="G20" s="818">
        <f t="shared" si="15"/>
        <v>4182</v>
      </c>
      <c r="H20" s="817">
        <f t="shared" si="15"/>
        <v>0</v>
      </c>
      <c r="I20" s="819">
        <f t="shared" si="15"/>
        <v>0</v>
      </c>
      <c r="J20" s="819">
        <f t="shared" si="15"/>
        <v>0</v>
      </c>
      <c r="K20" s="878">
        <f t="shared" si="15"/>
        <v>0</v>
      </c>
      <c r="L20" s="819">
        <f t="shared" si="15"/>
        <v>689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1776</v>
      </c>
      <c r="X20" s="818">
        <f t="shared" si="16"/>
        <v>340</v>
      </c>
      <c r="Y20" s="825">
        <f t="shared" si="16"/>
        <v>2116</v>
      </c>
      <c r="Z20" s="825">
        <f t="shared" si="16"/>
        <v>0</v>
      </c>
      <c r="AA20" s="825">
        <f t="shared" si="16"/>
        <v>4388</v>
      </c>
      <c r="AB20" s="825">
        <f t="shared" si="16"/>
        <v>7791</v>
      </c>
      <c r="AC20" s="825">
        <f t="shared" si="16"/>
        <v>4666</v>
      </c>
      <c r="AD20" s="825">
        <f t="shared" si="16"/>
        <v>0</v>
      </c>
      <c r="AE20" s="827">
        <f t="shared" si="16"/>
        <v>0</v>
      </c>
      <c r="AF20" s="828">
        <f t="shared" si="16"/>
        <v>0</v>
      </c>
      <c r="AG20" s="829">
        <f t="shared" si="16"/>
        <v>0</v>
      </c>
      <c r="AH20" s="827">
        <f t="shared" si="16"/>
        <v>0</v>
      </c>
      <c r="AI20" s="817">
        <f t="shared" si="16"/>
        <v>586</v>
      </c>
      <c r="AJ20" s="817">
        <f t="shared" si="16"/>
        <v>0</v>
      </c>
      <c r="AK20" s="827">
        <f t="shared" si="16"/>
        <v>0</v>
      </c>
      <c r="AL20" s="881">
        <f>IF(ISNUMBER(NºAsuntos!G20/NºAsuntos!E20),NºAsuntos!G20/NºAsuntos!E20," - ")</f>
        <v>0.86529906080079089</v>
      </c>
      <c r="AM20" s="882">
        <f>IF(ISNUMBER(((NºAsuntos!I20/NºAsuntos!G20)*11)/factor_trimestre),((NºAsuntos!I20/NºAsuntos!G20)*11)/factor_trimestre," - ")</f>
        <v>13.005141388174808</v>
      </c>
      <c r="AN20" s="882">
        <f>IF(ISNUMBER('Resol  Asuntos'!D20/NºAsuntos!G20),'Resol  Asuntos'!D20/NºAsuntos!G20," - ")</f>
        <v>0.1673807483576121</v>
      </c>
      <c r="AO20" s="883">
        <f>IF(ISNUMBER((NºAsuntos!C20+NºAsuntos!E20)/NºAsuntos!G20),(NºAsuntos!C20+NºAsuntos!E20)/NºAsuntos!G20," - ")</f>
        <v>5.3350471293916026</v>
      </c>
      <c r="AP20" s="884" t="str">
        <f t="shared" si="2"/>
        <v xml:space="preserve"> - </v>
      </c>
      <c r="AQ20" s="885">
        <f>IF(OR(ISNUMBER(FIND("01",Criterios!A8,1)),ISNUMBER(FIND("02",Criterios!A8,1)),ISNUMBER(FIND("03",Criterios!A8,1)),ISNUMBER(FIND("04",Criterios!A8,1))),(I20-W20+K20)/(F20-K20),(H20-W20+K20)/(F20-K20))</f>
        <v>-0.44488977955911824</v>
      </c>
      <c r="AR20" s="886">
        <f>IF(ISNUMBER((Datos!P20-Datos!Q20)/(Datos!R20-Datos!P20+Datos!Q20)),(Datos!P20-Datos!Q20)/(Datos!R20-Datos!P20+Datos!Q20)," - ")</f>
        <v>4.6895995700080621E-2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1672.8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3.7357135269658399</v>
      </c>
      <c r="F22" s="251">
        <f>IF(ISNUMBER(STDEV(F8:F19)),STDEV(F8:F19),"-")</f>
        <v>2188.1575202286817</v>
      </c>
      <c r="G22" s="252">
        <f>IF(ISNUMBER(STDEV(G8:G19)),STDEV(G8:G19),"-")</f>
        <v>2107.7896479487699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884.93350032643696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176.59294059125543</v>
      </c>
      <c r="AJ22" s="251">
        <f t="shared" si="20"/>
        <v>0</v>
      </c>
      <c r="AK22" s="253">
        <f t="shared" si="20"/>
        <v>0</v>
      </c>
      <c r="AL22" s="248">
        <f t="shared" si="20"/>
        <v>8.9273572043052737E-2</v>
      </c>
      <c r="AM22" s="249">
        <f t="shared" si="20"/>
        <v>5.8589808657842344</v>
      </c>
      <c r="AN22" s="249">
        <f t="shared" si="20"/>
        <v>6.7151338171313149E-2</v>
      </c>
      <c r="AO22" s="250">
        <f t="shared" si="20"/>
        <v>1.9615868811677277</v>
      </c>
      <c r="AP22" s="290" t="str">
        <f t="shared" si="20"/>
        <v>-</v>
      </c>
      <c r="AQ22" s="291">
        <f t="shared" si="20"/>
        <v>6.7077721379457649E-3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xTPeNSG3iuao+smrrIs5JWDci60EsYLE3Os8f0eXFoBx19drja91jqyJ1p6inDOH3cxqSmGvk+0NHQ3jxMq5A==" saltValue="SLhW+qdh4vwwmeMQpXeA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 FELIU DE LLOBREGAT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0.31168831168831168</v>
      </c>
      <c r="E10" s="347">
        <f>IF(ISNUMBER((Datos!J10-Datos!T10)/Datos!T10),(Datos!J10-Datos!T10)/Datos!T10," - ")</f>
        <v>0.11627906976744186</v>
      </c>
      <c r="F10" s="347">
        <f>IF(ISNUMBER((Datos!K10-Datos!U10)/Datos!U10),(Datos!K10-Datos!U10)/Datos!U10," - ")</f>
        <v>0.15789473684210525</v>
      </c>
      <c r="G10" s="348">
        <f>IF(ISNUMBER((Datos!L10-Datos!V10)/Datos!V10),(Datos!L10-Datos!V10)/Datos!V10," - ")</f>
        <v>0.28048780487804881</v>
      </c>
      <c r="H10" s="229">
        <f>IF(ISNUMBER((Datos!M10-Datos!W10)/Datos!W10),(Datos!M10-Datos!W10)/Datos!W10," - ")</f>
        <v>-0.75</v>
      </c>
      <c r="I10" s="349">
        <f>IF(ISNUMBER((Tasas!C10-Datos!BE10)/Datos!BE10),(Tasas!C10-Datos!BE10)/Datos!BE10," - ")</f>
        <v>0.1058758314855875</v>
      </c>
      <c r="J10" s="348">
        <f>IF(ISNUMBER((Tasas!D10-Datos!BF10)/Datos!BF10),(Tasas!D10-Datos!BF10)/Datos!BF10," - ")</f>
        <v>-0.78409090909090906</v>
      </c>
      <c r="K10" s="350">
        <f>IF(ISNUMBER((Tasas!E10-Datos!BG10)/Datos!BG10),(Tasas!E10-Datos!BG10)/Datos!BG10," - ")</f>
        <v>7.2348484848484801E-2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-0.1279826464208243</v>
      </c>
      <c r="I12" s="349">
        <f>IF(ISNUMBER((Tasas!C12-Datos!BE12)/Datos!BE12),(Tasas!C12-Datos!BE12)/Datos!BE12," - ")</f>
        <v>0.11303768006542125</v>
      </c>
      <c r="J12" s="348">
        <f>IF(ISNUMBER((Tasas!D12-Datos!BF12)/Datos!BF12),(Tasas!D12-Datos!BF12)/Datos!BF12," - ")</f>
        <v>-0.49711670480549197</v>
      </c>
      <c r="K12" s="350">
        <f>IF(ISNUMBER((Tasas!E12-Datos!BG12)/Datos!BG12),(Tasas!E12-Datos!BG12)/Datos!BG12," - ")</f>
        <v>9.8506696607586805E-2</v>
      </c>
      <c r="M12" t="e">
        <f>IF(Monitorios="SI",Datos!CE12,0)</f>
        <v>#REF!</v>
      </c>
      <c r="N12" t="e">
        <f>IF(Monitorios="SI",Datos!CF12,0)</f>
        <v>#REF!</v>
      </c>
      <c r="O12" t="e">
        <f>IF(Monitorios="SI",Datos!CG12,0)</f>
        <v>#REF!</v>
      </c>
      <c r="P12" t="e">
        <f>IF(Monitorios="SI",Datos!CH12,0)</f>
        <v>#REF!</v>
      </c>
      <c r="Q12">
        <f>IF(J_V="SI",0,Datos!AG12)</f>
        <v>197</v>
      </c>
      <c r="R12">
        <f>IF(J_V="SI",0,Datos!AH12)</f>
        <v>83</v>
      </c>
      <c r="S12">
        <f>IF(J_V="SI",0,Datos!AI12)</f>
        <v>88</v>
      </c>
      <c r="T12">
        <f>IF(J_V="SI",0,Datos!AJ12)</f>
        <v>192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-0.1488469601677149</v>
      </c>
      <c r="I13" s="356">
        <f>IF(ISNUMBER((Tasas!C13-Datos!BE13)/Datos!BE13),(Tasas!C13-Datos!BE13)/Datos!BE13," - ")</f>
        <v>0.10941326168744682</v>
      </c>
      <c r="J13" s="354">
        <f>IF(ISNUMBER((Tasas!D13-Datos!BF13)/Datos!BF13),(Tasas!D13-Datos!BF13)/Datos!BF13," - ")</f>
        <v>-0.50384969607662555</v>
      </c>
      <c r="K13" s="357">
        <f>IF(ISNUMBER((Tasas!E13-Datos!BG13)/Datos!BG13),(Tasas!E13-Datos!BG13)/Datos!BG13," - ")</f>
        <v>9.5222838713402952E-2</v>
      </c>
      <c r="M13" t="e">
        <f>IF(Monitorios="SI",Datos!CE13,0)</f>
        <v>#REF!</v>
      </c>
      <c r="N13" t="e">
        <f>IF(Monitorios="SI",Datos!CF13,0)</f>
        <v>#REF!</v>
      </c>
      <c r="O13" t="e">
        <f>IF(Monitorios="SI",Datos!CG13,0)</f>
        <v>#REF!</v>
      </c>
      <c r="P13" t="e">
        <f>IF(Monitorios="SI",Datos!CH13,0)</f>
        <v>#REF!</v>
      </c>
      <c r="Q13">
        <f>IF(J_V="SI",0,Datos!AG13)</f>
        <v>197</v>
      </c>
      <c r="R13">
        <f>IF(J_V="SI",0,Datos!AH13)</f>
        <v>83</v>
      </c>
      <c r="S13">
        <f>IF(J_V="SI",0,Datos!AI13)</f>
        <v>88</v>
      </c>
      <c r="T13">
        <f>IF(J_V="SI",0,Datos!AJ13)</f>
        <v>192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0.17190332326283989</v>
      </c>
      <c r="E17" s="347">
        <f>IF(ISNUMBER(
   IF(D_I="SI",(Datos!J17-Datos!T17)/Datos!T17,(Datos!J17+Datos!AD17-(Datos!T17+Datos!AL17))/(Datos!T17+Datos!AL17))
     ),IF(D_I="SI",(Datos!J17-Datos!T17)/Datos!T17,(Datos!J17+Datos!AD17-(Datos!T17+Datos!AL17))/(Datos!T17+Datos!AL17))," - ")</f>
        <v>-0.16079923882017128</v>
      </c>
      <c r="F17" s="347">
        <f>IF(ISNUMBER(
   IF(D_I="SI",(Datos!K17-Datos!U17)/Datos!U17,(Datos!K17+Datos!AE17-(Datos!U17+Datos!AM17))/(Datos!U17+Datos!AM17))
     ),IF(D_I="SI",(Datos!K17-Datos!U17)/Datos!U17,(Datos!K17+Datos!AE17-(Datos!U17+Datos!AM17))/(Datos!U17+Datos!AM17))," - ")</f>
        <v>-0.22024952015355087</v>
      </c>
      <c r="G17" s="348">
        <f>IF(ISNUMBER(
   IF(D_I="SI",(Datos!L17-Datos!V17)/Datos!V17,(Datos!L17+Datos!AF17-(Datos!V17+Datos!AN17))/(Datos!V17+Datos!AN17))
     ),IF(D_I="SI",(Datos!L17-Datos!V17)/Datos!V17,(Datos!L17+Datos!AF17-(Datos!V17+Datos!AN17))/(Datos!V17+Datos!AN17))," - ")</f>
        <v>0.20262608176663682</v>
      </c>
      <c r="H17" s="229">
        <f>IF(ISNUMBER((Datos!M17-Datos!W17)/Datos!W17),(Datos!M17-Datos!W17)/Datos!W17," - ")</f>
        <v>-0.31034482758620691</v>
      </c>
      <c r="I17" s="349">
        <f>IF(ISNUMBER((Tasas!C17-Datos!BE17)/Datos!BE17),(Tasas!C17-Datos!BE17)/Datos!BE17," - ")</f>
        <v>0.54232169501641292</v>
      </c>
      <c r="J17" s="348">
        <f>IF(ISNUMBER((Tasas!D17-Datos!BF17)/Datos!BF17),(Tasas!D17-Datos!BF17)/Datos!BF17," - ")</f>
        <v>-0.1155437665782493</v>
      </c>
      <c r="K17" s="350">
        <f>IF(ISNUMBER((Tasas!E17-Datos!BG17)/Datos!BG17),(Tasas!E17-Datos!BG17)/Datos!BG17," - ")</f>
        <v>0.33720075046904319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-6.0465116279069767E-2</v>
      </c>
      <c r="E18" s="347">
        <f>IF(ISNUMBER(
   IF(D_I="SI",(Datos!J18-Datos!T18)/Datos!T18,(Datos!J18+Datos!AD18-(Datos!T18+Datos!AL18))/(Datos!T18+Datos!AL18))
     ),IF(D_I="SI",(Datos!J18-Datos!T18)/Datos!T18,(Datos!J18+Datos!AD18-(Datos!T18+Datos!AL18))/(Datos!T18+Datos!AL18))," - ")</f>
        <v>0.13043478260869565</v>
      </c>
      <c r="F18" s="347">
        <f>IF(ISNUMBER(
   IF(D_I="SI",(Datos!K18-Datos!U18)/Datos!U18,(Datos!K18+Datos!AE18-(Datos!U18+Datos!AM18))/(Datos!U18+Datos!AM18))
     ),IF(D_I="SI",(Datos!K18-Datos!U18)/Datos!U18,(Datos!K18+Datos!AE18-(Datos!U18+Datos!AM18))/(Datos!U18+Datos!AM18))," - ")</f>
        <v>-0.34355828220858897</v>
      </c>
      <c r="G18" s="348">
        <f>IF(ISNUMBER(
   IF(D_I="SI",(Datos!L18-Datos!V18)/Datos!V18,(Datos!L18+Datos!AF18-(Datos!V18+Datos!AN18))/(Datos!V18+Datos!AN18))
     ),IF(D_I="SI",(Datos!L18-Datos!V18)/Datos!V18,(Datos!L18+Datos!AF18-(Datos!V18+Datos!AN18))/(Datos!V18+Datos!AN18))," - ")</f>
        <v>0.41340782122905029</v>
      </c>
      <c r="H18" s="229">
        <f>IF(ISNUMBER((Datos!M18-Datos!W18)/Datos!W18),(Datos!M18-Datos!W18)/Datos!W18," - ")</f>
        <v>0.33333333333333331</v>
      </c>
      <c r="I18" s="349">
        <f>IF(ISNUMBER((Tasas!C18-Datos!BE18)/Datos!BE18),(Tasas!C18-Datos!BE18)/Datos!BE18," - ")</f>
        <v>1.153135279068553</v>
      </c>
      <c r="J18" s="348">
        <f>IF(ISNUMBER((Tasas!D18-Datos!BF18)/Datos!BF18),(Tasas!D18-Datos!BF18)/Datos!BF18," - ")</f>
        <v>1.0311526479750779</v>
      </c>
      <c r="K18" s="350">
        <f>IF(ISNUMBER((Tasas!E18-Datos!BG18)/Datos!BG18),(Tasas!E18-Datos!BG18)/Datos!BG18," - ")</f>
        <v>0.5449418866326019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0.15773049645390072</v>
      </c>
      <c r="E19" s="353">
        <f>IF(ISNUMBER(
   IF(D_I="SI",(Datos!J19-Datos!T19)/Datos!T19,(Datos!J19+Datos!AD19-(Datos!T19+Datos!AL19))/(Datos!T19+Datos!AL19))
     ),IF(D_I="SI",(Datos!J19-Datos!T19)/Datos!T19,(Datos!J19+Datos!AD19-(Datos!T19+Datos!AL19))/(Datos!T19+Datos!AL19))," - ")</f>
        <v>-0.14285714285714285</v>
      </c>
      <c r="F19" s="353">
        <f>IF(ISNUMBER(
   IF(D_I="SI",(Datos!K19-Datos!U19)/Datos!U19,(Datos!K19+Datos!AE19-(Datos!U19+Datos!AM19))/(Datos!U19+Datos!AM19))
     ),IF(D_I="SI",(Datos!K19-Datos!U19)/Datos!U19,(Datos!K19+Datos!AE19-(Datos!U19+Datos!AM19))/(Datos!U19+Datos!AM19))," - ")</f>
        <v>-0.22919448153093014</v>
      </c>
      <c r="G19" s="354">
        <f>IF(ISNUMBER(
   IF(D_I="SI",(Datos!L19-Datos!V19)/Datos!V19,(Datos!L19+Datos!AF19-(Datos!V19+Datos!AN19))/(Datos!V19+Datos!AN19))
     ),IF(D_I="SI",(Datos!L19-Datos!V19)/Datos!V19,(Datos!L19+Datos!AF19-(Datos!V19+Datos!AN19))/(Datos!V19+Datos!AN19))," - ")</f>
        <v>0.213314447592068</v>
      </c>
      <c r="H19" s="355">
        <f>IF(ISNUMBER((Datos!M19-Datos!W19)/Datos!W19),(Datos!M19-Datos!W19)/Datos!W19," - ")</f>
        <v>-0.27125506072874495</v>
      </c>
      <c r="I19" s="356">
        <f>IF(ISNUMBER((Tasas!C19-Datos!BE19)/Datos!BE19),(Tasas!C19-Datos!BE19)/Datos!BE19," - ")</f>
        <v>0.5740863531982543</v>
      </c>
      <c r="J19" s="354">
        <f>IF(ISNUMBER((Tasas!D19-Datos!BF19)/Datos!BF19),(Tasas!D19-Datos!BF19)/Datos!BF19," - ")</f>
        <v>-5.4567044721414465E-2</v>
      </c>
      <c r="K19" s="357">
        <f>IF(ISNUMBER((Tasas!E19-Datos!BG19)/Datos!BG19),(Tasas!E19-Datos!BG19)/Datos!BG19," - ")</f>
        <v>0.35045308052695157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0.13646601941747571</v>
      </c>
      <c r="E20" s="362">
        <f>IF(ISNUMBER(
   IF(J_V="SI",(Datos!J20-Datos!T20)/Datos!T20,(Datos!J20+Datos!Z20-(Datos!T20+Datos!AH20))/(Datos!T20+Datos!AH20))
     ),IF(J_V="SI",(Datos!J20-Datos!T20)/Datos!T20,(Datos!J20+Datos!Z20-(Datos!T20+Datos!AH20))/(Datos!T20+Datos!AH20))," - ")</f>
        <v>-0.26154407738638435</v>
      </c>
      <c r="F20" s="362">
        <f>IF(ISNUMBER(
   IF(J_V="SI",(Datos!K20-Datos!U20)/Datos!U20,(Datos!K20+Datos!AA20-(Datos!U20+Datos!AI20))/(Datos!U20+Datos!AI20))
     ),IF(J_V="SI",(Datos!K20-Datos!U20)/Datos!U20,(Datos!K20+Datos!AA20-(Datos!U20+Datos!AI20))/(Datos!U20+Datos!AI20))," - ")</f>
        <v>-0.16063294174058979</v>
      </c>
      <c r="G20" s="363">
        <f>IF(ISNUMBER(
   IF(J_V="SI",(Datos!L20-Datos!V20)/Datos!V20,(Datos!L20+Datos!AB20-(Datos!V20+Datos!AJ20))/(Datos!V20+Datos!AJ20))
     ),IF(J_V="SI",(Datos!L20-Datos!V20)/Datos!V20,(Datos!L20+Datos!AB20-(Datos!V20+Datos!AJ20))/(Datos!V20+Datos!AJ20))," - ")</f>
        <v>6.8050668543279375E-2</v>
      </c>
      <c r="H20" s="364">
        <f>IF(ISNUMBER((Datos!M20-Datos!W20)/Datos!W20),(Datos!M20-Datos!W20)/Datos!W20," - ")</f>
        <v>-0.19060773480662985</v>
      </c>
      <c r="I20" s="361">
        <f>IF(ISNUMBER((Tasas!C20-Datos!BE20)/Datos!BE20),(Tasas!C20-Datos!BE20)/Datos!BE20," - ")</f>
        <v>0.27244768308883704</v>
      </c>
      <c r="J20" s="362">
        <f>IF(ISNUMBER((Tasas!D20-Datos!BF20)/Datos!BF20),(Tasas!D20-Datos!BF20)/Datos!BF20," - ")</f>
        <v>-0.38597616411644675</v>
      </c>
      <c r="K20" s="363">
        <f>IF(ISNUMBER((Tasas!E20-Datos!BG20)/Datos!BG20),(Tasas!E20-Datos!BG20)/Datos!BG20," - ")</f>
        <v>0.21240501126143468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0.15371681537260598</v>
      </c>
      <c r="E22" s="277">
        <f t="shared" si="1"/>
        <v>0.1591519191839546</v>
      </c>
      <c r="F22" s="277">
        <f t="shared" si="1"/>
        <v>0.21845106515982177</v>
      </c>
      <c r="G22" s="278">
        <f t="shared" si="1"/>
        <v>9.6963472344807275E-2</v>
      </c>
      <c r="H22" s="284">
        <f t="shared" si="1"/>
        <v>0.34958859713072282</v>
      </c>
      <c r="I22" s="276">
        <f t="shared" si="1"/>
        <v>0.41582349486838632</v>
      </c>
      <c r="J22" s="277">
        <f t="shared" si="1"/>
        <v>0.6407949797130672</v>
      </c>
      <c r="K22" s="278">
        <f t="shared" si="1"/>
        <v>0.19139042142308191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zUu0xYnPJi8oAoSXC/2kvyTelUQaQA1BRFhjzGrOnNOU7nYcmCqnfZ2n5df6sfXSCeMrbNi3ikIlAF4xkBFtg==" saltValue="VkmeDln9pe/Q6QprXtLRV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